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824A~1\728F~1\2016~1\202A1D~1\301216~1.()\-2016(~1.)\"/>
    </mc:Choice>
  </mc:AlternateContent>
  <bookViews>
    <workbookView xWindow="255" yWindow="7680" windowWidth="12120" windowHeight="1170" firstSheet="1" activeTab="1"/>
  </bookViews>
  <sheets>
    <sheet name="август" sheetId="18" state="hidden" r:id="rId1"/>
    <sheet name="для сайта (окончательно)" sheetId="28" r:id="rId2"/>
  </sheets>
  <definedNames>
    <definedName name="_xlnm.Print_Area" localSheetId="0">август!$A$1:$F$226</definedName>
  </definedNames>
  <calcPr calcId="152511"/>
</workbook>
</file>

<file path=xl/calcChain.xml><?xml version="1.0" encoding="utf-8"?>
<calcChain xmlns="http://schemas.openxmlformats.org/spreadsheetml/2006/main">
  <c r="G621" i="28" l="1"/>
  <c r="B619" i="28"/>
  <c r="F610" i="28"/>
  <c r="I603" i="28"/>
  <c r="F597" i="28"/>
  <c r="F592" i="28"/>
  <c r="F591" i="28"/>
  <c r="F587" i="28"/>
  <c r="F586" i="28"/>
  <c r="H584" i="28"/>
  <c r="G576" i="28"/>
  <c r="E575" i="28"/>
  <c r="F575" i="28" s="1"/>
  <c r="F574" i="28"/>
  <c r="E574" i="28"/>
  <c r="E573" i="28"/>
  <c r="F573" i="28" s="1"/>
  <c r="F572" i="28"/>
  <c r="E571" i="28"/>
  <c r="F571" i="28" s="1"/>
  <c r="E570" i="28"/>
  <c r="F570" i="28" s="1"/>
  <c r="E569" i="28"/>
  <c r="F569" i="28" s="1"/>
  <c r="E568" i="28"/>
  <c r="F568" i="28" s="1"/>
  <c r="F567" i="28"/>
  <c r="F566" i="28"/>
  <c r="E565" i="28"/>
  <c r="F565" i="28" s="1"/>
  <c r="F564" i="28"/>
  <c r="F563" i="28"/>
  <c r="E562" i="28"/>
  <c r="F562" i="28" s="1"/>
  <c r="E561" i="28"/>
  <c r="F561" i="28" s="1"/>
  <c r="F560" i="28"/>
  <c r="E559" i="28"/>
  <c r="F559" i="28" s="1"/>
  <c r="F558" i="28"/>
  <c r="E557" i="28"/>
  <c r="F557" i="28" s="1"/>
  <c r="F556" i="28"/>
  <c r="F555" i="28"/>
  <c r="E555" i="28"/>
  <c r="F554" i="28"/>
  <c r="E554" i="28"/>
  <c r="F553" i="28"/>
  <c r="E553" i="28"/>
  <c r="F552" i="28"/>
  <c r="E552" i="28"/>
  <c r="F551" i="28"/>
  <c r="E551" i="28"/>
  <c r="F550" i="28"/>
  <c r="E550" i="28"/>
  <c r="F549" i="28"/>
  <c r="E548" i="28"/>
  <c r="F548" i="28" s="1"/>
  <c r="E547" i="28"/>
  <c r="F547" i="28" s="1"/>
  <c r="E546" i="28"/>
  <c r="F546" i="28" s="1"/>
  <c r="E545" i="28"/>
  <c r="F545" i="28" s="1"/>
  <c r="E544" i="28"/>
  <c r="F544" i="28" s="1"/>
  <c r="E543" i="28"/>
  <c r="F543" i="28" s="1"/>
  <c r="E542" i="28"/>
  <c r="F542" i="28" s="1"/>
  <c r="E541" i="28"/>
  <c r="F541" i="28" s="1"/>
  <c r="E540" i="28"/>
  <c r="F540" i="28" s="1"/>
  <c r="F539" i="28"/>
  <c r="F538" i="28"/>
  <c r="E537" i="28"/>
  <c r="F537" i="28" s="1"/>
  <c r="E536" i="28"/>
  <c r="F536" i="28" s="1"/>
  <c r="E535" i="28"/>
  <c r="F535" i="28" s="1"/>
  <c r="E534" i="28"/>
  <c r="F534" i="28" s="1"/>
  <c r="F533" i="28"/>
  <c r="F532" i="28"/>
  <c r="E531" i="28"/>
  <c r="F531" i="28" s="1"/>
  <c r="E530" i="28"/>
  <c r="F530" i="28" s="1"/>
  <c r="F529" i="28"/>
  <c r="E528" i="28"/>
  <c r="F528" i="28" s="1"/>
  <c r="E527" i="28"/>
  <c r="F527" i="28" s="1"/>
  <c r="F526" i="28"/>
  <c r="E525" i="28"/>
  <c r="F525" i="28" s="1"/>
  <c r="E524" i="28"/>
  <c r="F524" i="28" s="1"/>
  <c r="E523" i="28"/>
  <c r="F523" i="28" s="1"/>
  <c r="F522" i="28"/>
  <c r="F521" i="28"/>
  <c r="E521" i="28"/>
  <c r="F520" i="28"/>
  <c r="E520" i="28"/>
  <c r="F519" i="28"/>
  <c r="E518" i="28"/>
  <c r="F518" i="28" s="1"/>
  <c r="E517" i="28"/>
  <c r="F517" i="28" s="1"/>
  <c r="F516" i="28"/>
  <c r="F515" i="28"/>
  <c r="F514" i="28"/>
  <c r="F513" i="28"/>
  <c r="F512" i="28"/>
  <c r="F511" i="28"/>
  <c r="E511" i="28"/>
  <c r="F510" i="28"/>
  <c r="E510" i="28"/>
  <c r="F509" i="28"/>
  <c r="E509" i="28"/>
  <c r="F508" i="28"/>
  <c r="E508" i="28"/>
  <c r="F507" i="28"/>
  <c r="E507" i="28"/>
  <c r="F506" i="28"/>
  <c r="F505" i="28"/>
  <c r="F504" i="28"/>
  <c r="E503" i="28"/>
  <c r="F503" i="28" s="1"/>
  <c r="F502" i="28"/>
  <c r="E501" i="28"/>
  <c r="F501" i="28" s="1"/>
  <c r="E500" i="28"/>
  <c r="F500" i="28" s="1"/>
  <c r="F499" i="28"/>
  <c r="E498" i="28"/>
  <c r="F498" i="28" s="1"/>
  <c r="F497" i="28"/>
  <c r="F496" i="28"/>
  <c r="E495" i="28"/>
  <c r="F495" i="28" s="1"/>
  <c r="E494" i="28"/>
  <c r="F494" i="28" s="1"/>
  <c r="E493" i="28"/>
  <c r="F493" i="28" s="1"/>
  <c r="E492" i="28"/>
  <c r="F492" i="28" s="1"/>
  <c r="E491" i="28"/>
  <c r="F491" i="28" s="1"/>
  <c r="E490" i="28"/>
  <c r="F490" i="28" s="1"/>
  <c r="E489" i="28"/>
  <c r="F489" i="28" s="1"/>
  <c r="F488" i="28"/>
  <c r="E487" i="28"/>
  <c r="F487" i="28" s="1"/>
  <c r="E486" i="28"/>
  <c r="F486" i="28" s="1"/>
  <c r="F485" i="28"/>
  <c r="F484" i="28"/>
  <c r="E483" i="28"/>
  <c r="F483" i="28" s="1"/>
  <c r="E482" i="28"/>
  <c r="F482" i="28" s="1"/>
  <c r="F481" i="28"/>
  <c r="F480" i="28"/>
  <c r="E479" i="28"/>
  <c r="F479" i="28" s="1"/>
  <c r="F478" i="28"/>
  <c r="E477" i="28"/>
  <c r="F477" i="28" s="1"/>
  <c r="F476" i="28"/>
  <c r="F475" i="28"/>
  <c r="E474" i="28"/>
  <c r="F474" i="28" s="1"/>
  <c r="F473" i="28"/>
  <c r="E472" i="28"/>
  <c r="F472" i="28" s="1"/>
  <c r="F471" i="28"/>
  <c r="E470" i="28"/>
  <c r="F470" i="28" s="1"/>
  <c r="E469" i="28"/>
  <c r="F469" i="28" s="1"/>
  <c r="E468" i="28"/>
  <c r="F468" i="28" s="1"/>
  <c r="E467" i="28"/>
  <c r="F467" i="28" s="1"/>
  <c r="F466" i="28"/>
  <c r="E465" i="28"/>
  <c r="F465" i="28" s="1"/>
  <c r="F464" i="28"/>
  <c r="E463" i="28"/>
  <c r="F463" i="28" s="1"/>
  <c r="E462" i="28"/>
  <c r="F462" i="28" s="1"/>
  <c r="E461" i="28"/>
  <c r="F461" i="28" s="1"/>
  <c r="E460" i="28"/>
  <c r="F460" i="28" s="1"/>
  <c r="E459" i="28"/>
  <c r="F459" i="28" s="1"/>
  <c r="E458" i="28"/>
  <c r="F458" i="28" s="1"/>
  <c r="F457" i="28"/>
  <c r="E456" i="28"/>
  <c r="F456" i="28" s="1"/>
  <c r="E455" i="28"/>
  <c r="F455" i="28" s="1"/>
  <c r="E454" i="28"/>
  <c r="F454" i="28" s="1"/>
  <c r="E453" i="28"/>
  <c r="F453" i="28" s="1"/>
  <c r="E452" i="28"/>
  <c r="F452" i="28" s="1"/>
  <c r="E451" i="28"/>
  <c r="F451" i="28" s="1"/>
  <c r="F450" i="28"/>
  <c r="E449" i="28"/>
  <c r="F449" i="28" s="1"/>
  <c r="E448" i="28"/>
  <c r="F448" i="28" s="1"/>
  <c r="F447" i="28"/>
  <c r="E446" i="28"/>
  <c r="F446" i="28" s="1"/>
  <c r="E445" i="28"/>
  <c r="F445" i="28" s="1"/>
  <c r="E444" i="28"/>
  <c r="F444" i="28" s="1"/>
  <c r="E443" i="28"/>
  <c r="F443" i="28" s="1"/>
  <c r="E442" i="28"/>
  <c r="F442" i="28" s="1"/>
  <c r="F441" i="28"/>
  <c r="E440" i="28"/>
  <c r="F440" i="28" s="1"/>
  <c r="F439" i="28"/>
  <c r="F438" i="28"/>
  <c r="F437" i="28"/>
  <c r="F436" i="28"/>
  <c r="E436" i="28"/>
  <c r="F435" i="28"/>
  <c r="E435" i="28"/>
  <c r="F434" i="28"/>
  <c r="E433" i="28"/>
  <c r="F433" i="28" s="1"/>
  <c r="E432" i="28"/>
  <c r="F432" i="28" s="1"/>
  <c r="E431" i="28"/>
  <c r="F431" i="28" s="1"/>
  <c r="F430" i="28"/>
  <c r="F429" i="28"/>
  <c r="E428" i="28"/>
  <c r="F428" i="28" s="1"/>
  <c r="E427" i="28"/>
  <c r="F427" i="28" s="1"/>
  <c r="F426" i="28"/>
  <c r="E425" i="28"/>
  <c r="F425" i="28" s="1"/>
  <c r="F424" i="28"/>
  <c r="F423" i="28"/>
  <c r="F422" i="28"/>
  <c r="E421" i="28"/>
  <c r="F421" i="28" s="1"/>
  <c r="F420" i="28"/>
  <c r="F419" i="28"/>
  <c r="F418" i="28"/>
  <c r="F417" i="28"/>
  <c r="E416" i="28"/>
  <c r="F416" i="28" s="1"/>
  <c r="F415" i="28"/>
  <c r="E414" i="28"/>
  <c r="F414" i="28" s="1"/>
  <c r="F413" i="28"/>
  <c r="E412" i="28"/>
  <c r="F412" i="28" s="1"/>
  <c r="E411" i="28"/>
  <c r="F411" i="28" s="1"/>
  <c r="E410" i="28"/>
  <c r="F410" i="28" s="1"/>
  <c r="E409" i="28"/>
  <c r="G262" i="28"/>
  <c r="E261" i="28"/>
  <c r="F261" i="28" s="1"/>
  <c r="J260" i="28"/>
  <c r="F260" i="28"/>
  <c r="J259" i="28"/>
  <c r="F259" i="28"/>
  <c r="J258" i="28"/>
  <c r="F258" i="28"/>
  <c r="E257" i="28"/>
  <c r="J257" i="28" s="1"/>
  <c r="I256" i="28"/>
  <c r="E256" i="28"/>
  <c r="J255" i="28"/>
  <c r="F255" i="28"/>
  <c r="I254" i="28"/>
  <c r="E254" i="28"/>
  <c r="F254" i="28" s="1"/>
  <c r="I253" i="28"/>
  <c r="E253" i="28"/>
  <c r="F253" i="28" s="1"/>
  <c r="I252" i="28"/>
  <c r="E252" i="28"/>
  <c r="F252" i="28" s="1"/>
  <c r="I251" i="28"/>
  <c r="E251" i="28"/>
  <c r="F251" i="28" s="1"/>
  <c r="I250" i="28"/>
  <c r="E250" i="28"/>
  <c r="F250" i="28" s="1"/>
  <c r="J249" i="28"/>
  <c r="F249" i="28"/>
  <c r="I248" i="28"/>
  <c r="E248" i="28"/>
  <c r="I247" i="28"/>
  <c r="E247" i="28"/>
  <c r="J246" i="28"/>
  <c r="F246" i="28"/>
  <c r="J245" i="28"/>
  <c r="F245" i="28"/>
  <c r="J244" i="28"/>
  <c r="F244" i="28"/>
  <c r="J243" i="28"/>
  <c r="F243" i="28"/>
  <c r="I242" i="28"/>
  <c r="E242" i="28"/>
  <c r="I241" i="28"/>
  <c r="E241" i="28"/>
  <c r="I240" i="28"/>
  <c r="E240" i="28"/>
  <c r="J239" i="28"/>
  <c r="F239" i="28"/>
  <c r="J238" i="28"/>
  <c r="F238" i="28"/>
  <c r="I237" i="28"/>
  <c r="E237" i="28"/>
  <c r="I236" i="28"/>
  <c r="E236" i="28"/>
  <c r="J235" i="28"/>
  <c r="F235" i="28"/>
  <c r="J234" i="28"/>
  <c r="F234" i="28"/>
  <c r="J233" i="28"/>
  <c r="F233" i="28"/>
  <c r="J232" i="28"/>
  <c r="F232" i="28"/>
  <c r="J231" i="28"/>
  <c r="F231" i="28"/>
  <c r="I230" i="28"/>
  <c r="E230" i="28"/>
  <c r="F230" i="28" s="1"/>
  <c r="I229" i="28"/>
  <c r="J229" i="28" s="1"/>
  <c r="F229" i="28"/>
  <c r="J228" i="28"/>
  <c r="F228" i="28"/>
  <c r="J227" i="28"/>
  <c r="F227" i="28"/>
  <c r="J226" i="28"/>
  <c r="F226" i="28"/>
  <c r="J225" i="28"/>
  <c r="F225" i="28"/>
  <c r="J224" i="28"/>
  <c r="F224" i="28"/>
  <c r="J223" i="28"/>
  <c r="F223" i="28"/>
  <c r="J222" i="28"/>
  <c r="F222" i="28"/>
  <c r="J221" i="28"/>
  <c r="F221" i="28"/>
  <c r="F220" i="28"/>
  <c r="I219" i="28"/>
  <c r="E219" i="28"/>
  <c r="F219" i="28" s="1"/>
  <c r="I218" i="28"/>
  <c r="E218" i="28"/>
  <c r="F218" i="28" s="1"/>
  <c r="J217" i="28"/>
  <c r="F217" i="28"/>
  <c r="I216" i="28"/>
  <c r="E216" i="28"/>
  <c r="J216" i="28" s="1"/>
  <c r="I215" i="28"/>
  <c r="E215" i="28"/>
  <c r="J215" i="28" s="1"/>
  <c r="J214" i="28"/>
  <c r="F214" i="28"/>
  <c r="I213" i="28"/>
  <c r="E213" i="28"/>
  <c r="F213" i="28" s="1"/>
  <c r="J212" i="28"/>
  <c r="F212" i="28"/>
  <c r="I211" i="28"/>
  <c r="E211" i="28"/>
  <c r="J211" i="28" s="1"/>
  <c r="J210" i="28"/>
  <c r="F210" i="28"/>
  <c r="J209" i="28"/>
  <c r="F209" i="28"/>
  <c r="E208" i="28"/>
  <c r="F208" i="28" s="1"/>
  <c r="J207" i="28"/>
  <c r="F207" i="28"/>
  <c r="I206" i="28"/>
  <c r="E206" i="28"/>
  <c r="E205" i="28"/>
  <c r="J205" i="28" s="1"/>
  <c r="E204" i="28"/>
  <c r="F204" i="28" s="1"/>
  <c r="F203" i="28"/>
  <c r="E203" i="28"/>
  <c r="J203" i="28" s="1"/>
  <c r="J202" i="28"/>
  <c r="F202" i="28"/>
  <c r="J201" i="28"/>
  <c r="I201" i="28"/>
  <c r="F201" i="28"/>
  <c r="E201" i="28"/>
  <c r="J200" i="28"/>
  <c r="I200" i="28"/>
  <c r="F200" i="28"/>
  <c r="E200" i="28"/>
  <c r="J199" i="28"/>
  <c r="F199" i="28"/>
  <c r="J198" i="28"/>
  <c r="F198" i="28"/>
  <c r="J197" i="28"/>
  <c r="F197" i="28"/>
  <c r="J196" i="28"/>
  <c r="F196" i="28"/>
  <c r="J195" i="28"/>
  <c r="F195" i="28"/>
  <c r="J194" i="28"/>
  <c r="F194" i="28"/>
  <c r="J193" i="28"/>
  <c r="I193" i="28"/>
  <c r="F193" i="28"/>
  <c r="E193" i="28"/>
  <c r="J192" i="28"/>
  <c r="F192" i="28"/>
  <c r="J191" i="28"/>
  <c r="F191" i="28"/>
  <c r="J190" i="28"/>
  <c r="F190" i="28"/>
  <c r="J189" i="28"/>
  <c r="F189" i="28"/>
  <c r="J188" i="28"/>
  <c r="F188" i="28"/>
  <c r="J187" i="28"/>
  <c r="F187" i="28"/>
  <c r="J186" i="28"/>
  <c r="F186" i="28"/>
  <c r="J185" i="28"/>
  <c r="F185" i="28"/>
  <c r="J184" i="28"/>
  <c r="F184" i="28"/>
  <c r="J183" i="28"/>
  <c r="F183" i="28"/>
  <c r="J182" i="28"/>
  <c r="F182" i="28"/>
  <c r="J181" i="28"/>
  <c r="F181" i="28"/>
  <c r="J180" i="28"/>
  <c r="I180" i="28"/>
  <c r="F180" i="28"/>
  <c r="F179" i="28"/>
  <c r="F178" i="28"/>
  <c r="J177" i="28"/>
  <c r="F177" i="28"/>
  <c r="J176" i="28"/>
  <c r="F176" i="28"/>
  <c r="J175" i="28"/>
  <c r="F175" i="28"/>
  <c r="J174" i="28"/>
  <c r="F174" i="28"/>
  <c r="J173" i="28"/>
  <c r="F173" i="28"/>
  <c r="J172" i="28"/>
  <c r="F172" i="28"/>
  <c r="J171" i="28"/>
  <c r="F171" i="28"/>
  <c r="J170" i="28"/>
  <c r="F170" i="28"/>
  <c r="I169" i="28"/>
  <c r="E169" i="28"/>
  <c r="J169" i="28" s="1"/>
  <c r="J168" i="28"/>
  <c r="F168" i="28"/>
  <c r="J167" i="28"/>
  <c r="F167" i="28"/>
  <c r="J166" i="28"/>
  <c r="F166" i="28"/>
  <c r="J165" i="28"/>
  <c r="F165" i="28"/>
  <c r="J164" i="28"/>
  <c r="F164" i="28"/>
  <c r="J163" i="28"/>
  <c r="F163" i="28"/>
  <c r="J162" i="28"/>
  <c r="F162" i="28"/>
  <c r="J161" i="28"/>
  <c r="F161" i="28"/>
  <c r="J160" i="28"/>
  <c r="F160" i="28"/>
  <c r="J159" i="28"/>
  <c r="F159" i="28"/>
  <c r="E158" i="28"/>
  <c r="J158" i="28" s="1"/>
  <c r="E157" i="28"/>
  <c r="F157" i="28" s="1"/>
  <c r="J156" i="28"/>
  <c r="F156" i="28"/>
  <c r="G144" i="28"/>
  <c r="G14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I262" i="28" l="1"/>
  <c r="J236" i="28"/>
  <c r="J240" i="28"/>
  <c r="J242" i="28"/>
  <c r="J248" i="28"/>
  <c r="J256" i="28"/>
  <c r="J206" i="28"/>
  <c r="J237" i="28"/>
  <c r="J241" i="28"/>
  <c r="J247" i="28"/>
  <c r="J261" i="28"/>
  <c r="F158" i="28"/>
  <c r="F205" i="28"/>
  <c r="F211" i="28"/>
  <c r="J213" i="28"/>
  <c r="F215" i="28"/>
  <c r="F216" i="28"/>
  <c r="J218" i="28"/>
  <c r="J219" i="28"/>
  <c r="J230" i="28"/>
  <c r="F236" i="28"/>
  <c r="F237" i="28"/>
  <c r="F240" i="28"/>
  <c r="F241" i="28"/>
  <c r="F242" i="28"/>
  <c r="F247" i="28"/>
  <c r="F248" i="28"/>
  <c r="J250" i="28"/>
  <c r="J251" i="28"/>
  <c r="J252" i="28"/>
  <c r="J253" i="28"/>
  <c r="J254" i="28"/>
  <c r="F256" i="28"/>
  <c r="F257" i="28"/>
  <c r="E576" i="28"/>
  <c r="H576" i="28" s="1"/>
  <c r="E63" i="28"/>
  <c r="G154" i="28"/>
  <c r="J157" i="28"/>
  <c r="J204" i="28"/>
  <c r="J208" i="28"/>
  <c r="F169" i="28"/>
  <c r="F206" i="28"/>
  <c r="E262" i="28"/>
  <c r="H262" i="28" s="1"/>
  <c r="F409" i="28"/>
  <c r="F582" i="28" l="1"/>
  <c r="F619" i="28" s="1"/>
  <c r="J262" i="28"/>
  <c r="G620" i="28" l="1"/>
  <c r="G622" i="28" s="1"/>
  <c r="F620" i="28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E61" i="18" l="1"/>
  <c r="H61" i="18" s="1"/>
  <c r="E195" i="18"/>
  <c r="H195" i="18" s="1"/>
  <c r="J195" i="18" s="1"/>
  <c r="E25" i="18"/>
  <c r="F121" i="18"/>
  <c r="F201" i="18"/>
  <c r="F224" i="18" s="1"/>
  <c r="F225" i="18" s="1"/>
  <c r="H203" i="18" l="1"/>
  <c r="M224" i="18"/>
</calcChain>
</file>

<file path=xl/sharedStrings.xml><?xml version="1.0" encoding="utf-8"?>
<sst xmlns="http://schemas.openxmlformats.org/spreadsheetml/2006/main" count="957" uniqueCount="758">
  <si>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</si>
  <si>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</si>
  <si>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</si>
  <si>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</si>
  <si>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</si>
  <si>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</si>
  <si>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</si>
  <si>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</si>
  <si>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</si>
  <si>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</si>
  <si>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</si>
  <si>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</si>
  <si>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</si>
  <si>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</si>
  <si>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</si>
  <si>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</si>
  <si>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</si>
  <si>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</si>
  <si>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</si>
  <si>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</si>
  <si>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</si>
  <si>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</si>
  <si>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</si>
  <si>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</si>
  <si>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</si>
  <si>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</si>
  <si>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</si>
  <si>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</si>
  <si>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</si>
  <si>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</si>
  <si>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Денежные взыскания(штрафы)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</si>
  <si>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</si>
  <si>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</si>
  <si>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</si>
  <si>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</si>
  <si>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</si>
  <si>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</si>
  <si>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</si>
  <si>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</si>
  <si>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</si>
  <si>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900 0901 071 00 72210 600</t>
  </si>
  <si>
    <t>900 0902 071 00 72210 600</t>
  </si>
  <si>
    <t>900 1003 041 00 51340 300</t>
  </si>
  <si>
    <t>911 0701 051 00 71800 600</t>
  </si>
  <si>
    <t>911 1004 052 00 71810 200</t>
  </si>
  <si>
    <t>911 1004 052 00 71810 300</t>
  </si>
  <si>
    <t>911 1004 052 00 71810 600</t>
  </si>
  <si>
    <t>911 0702 051 00 71820 200</t>
  </si>
  <si>
    <t>911 1003 052 00 73050 600</t>
  </si>
  <si>
    <t>911 0702 051 00 12050 200</t>
  </si>
  <si>
    <t>900 0501 044 00 12200 200</t>
  </si>
  <si>
    <t>913 0801 060 00 11400 600</t>
  </si>
  <si>
    <t>913 0804 060 00 14520 100</t>
  </si>
  <si>
    <t>913 0804 060 00 14520 200</t>
  </si>
  <si>
    <t>900 0501 043 00 11180 400</t>
  </si>
  <si>
    <t>900 0501 044 00 11200 400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</si>
  <si>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</si>
  <si>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</si>
  <si>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</si>
  <si>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</si>
  <si>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</si>
  <si>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</si>
  <si>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</si>
  <si>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</si>
  <si>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</si>
  <si>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</si>
  <si>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</si>
  <si>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</si>
  <si>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</si>
  <si>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</si>
  <si>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</si>
  <si>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</si>
  <si>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900 0901 076 00 13180 600</t>
  </si>
  <si>
    <t>900 0901 083 00 14900 600</t>
  </si>
  <si>
    <t>905 1006 081 00 11400 800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</si>
  <si>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</si>
  <si>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</si>
  <si>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</si>
  <si>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</si>
  <si>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</si>
  <si>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</si>
  <si>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900 0113 044 00 12200 600</t>
  </si>
  <si>
    <t>915 1003 086 00 70030 300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</si>
  <si>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</si>
  <si>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</si>
  <si>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</si>
  <si>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</si>
  <si>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911 0702 051 00 71840 200</t>
  </si>
  <si>
    <t>911 0702 051 00 71930 200</t>
  </si>
  <si>
    <t>По Управлению образования:</t>
  </si>
  <si>
    <t>855 0111 015 00  13070 800</t>
  </si>
  <si>
    <t>По УСЗН:</t>
  </si>
  <si>
    <t>915 1003 086 00 70060 300</t>
  </si>
  <si>
    <t>919 0502 101 00 11300 200</t>
  </si>
  <si>
    <t>По УЖКХ:</t>
  </si>
  <si>
    <t>919 1003 086 00 80110 300</t>
  </si>
  <si>
    <t>913 0804 060 00 14040 100</t>
  </si>
  <si>
    <t>913 0804 060 00 14040 200</t>
  </si>
  <si>
    <t>900 0503 044 00 11200 200</t>
  </si>
  <si>
    <t>913 0804 060 00 14520 800</t>
  </si>
  <si>
    <t>919 0502 101 00 12300 400</t>
  </si>
  <si>
    <t>913 0804 060 00 14040 800</t>
  </si>
  <si>
    <t>900 1003 041 00 51350 400</t>
  </si>
  <si>
    <t>Единый сельскохозяйственный налог</t>
  </si>
  <si>
    <t>Доходы, поступающие в порядке возмещения расходов, понесенных в связи с эксплуатацией имущества городских округов</t>
  </si>
  <si>
    <t>Плата за выбросы загрязняющих веществ в атмосферный воздух передвижными объектами</t>
  </si>
  <si>
    <t>Прочие доходы от оказания платных услуг (работ) получателями средств бюджетов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</si>
  <si>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</si>
  <si>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</si>
  <si>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</si>
  <si>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</si>
  <si>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>900 0412 046 00 00023 400</t>
  </si>
  <si>
    <t>900 0412 046 00 00024 400</t>
  </si>
  <si>
    <t>900 0412 046 00 72923 400</t>
  </si>
  <si>
    <t>900 0412 046 00 72924 400</t>
  </si>
  <si>
    <t xml:space="preserve"> - за счет дополнительно полученных доходов:</t>
  </si>
  <si>
    <t>СНД</t>
  </si>
  <si>
    <t>915 1001 082 00 91000 200</t>
  </si>
  <si>
    <t>915 1001 082 00 91000 300</t>
  </si>
  <si>
    <t>900 0104 011 00 11030 100</t>
  </si>
  <si>
    <t>900 0113 015 00 94040 300</t>
  </si>
  <si>
    <t>907 0103 990 00 20120 100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</si>
  <si>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</si>
  <si>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</si>
  <si>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</si>
  <si>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</si>
  <si>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</si>
  <si>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</si>
  <si>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</si>
  <si>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</si>
  <si>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900 0309 031 00 11000 100</t>
  </si>
  <si>
    <t>900 0309 031 00 11000 200</t>
  </si>
  <si>
    <t>919 0309 031 00 11000 600</t>
  </si>
  <si>
    <t>919 0502 103 00 13500 800</t>
  </si>
  <si>
    <t>900 0501 041 00 11500 400</t>
  </si>
  <si>
    <t>900 1003 072 00 73221 300</t>
  </si>
  <si>
    <t>911 0702 051 00 71820 100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</si>
  <si>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</si>
  <si>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</si>
  <si>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</si>
  <si>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</si>
  <si>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</si>
  <si>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</si>
  <si>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</si>
  <si>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</si>
  <si>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</si>
  <si>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</si>
  <si>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</si>
  <si>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</si>
  <si>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</si>
  <si>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</si>
  <si>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</si>
  <si>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</si>
  <si>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</si>
  <si>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</si>
  <si>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</si>
  <si>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</si>
  <si>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</si>
  <si>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</si>
  <si>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</si>
  <si>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</si>
  <si>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</si>
  <si>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</si>
  <si>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</si>
  <si>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</si>
  <si>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</si>
  <si>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</si>
  <si>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</si>
  <si>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</si>
  <si>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</si>
  <si>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</si>
  <si>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</si>
  <si>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</si>
  <si>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</si>
  <si>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</si>
  <si>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</si>
  <si>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</si>
  <si>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</si>
  <si>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</si>
  <si>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</si>
  <si>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</si>
  <si>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</si>
  <si>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</si>
  <si>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</si>
  <si>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</si>
  <si>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</si>
  <si>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</si>
  <si>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</si>
  <si>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</si>
  <si>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</si>
  <si>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</si>
  <si>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</si>
  <si>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</si>
  <si>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</si>
  <si>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</si>
  <si>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</si>
  <si>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</si>
  <si>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</si>
  <si>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</si>
  <si>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</si>
  <si>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</si>
  <si>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</si>
  <si>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</si>
  <si>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</si>
  <si>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</si>
  <si>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</si>
  <si>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</si>
  <si>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</si>
  <si>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</si>
  <si>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</si>
  <si>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</si>
  <si>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</si>
  <si>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</si>
  <si>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</si>
  <si>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</si>
  <si>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</si>
  <si>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</si>
  <si>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</si>
  <si>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</si>
  <si>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</si>
  <si>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</si>
  <si>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</si>
  <si>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</si>
  <si>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</si>
  <si>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</si>
  <si>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</si>
  <si>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</si>
  <si>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</si>
  <si>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</si>
  <si>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</si>
  <si>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</si>
  <si>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</si>
  <si>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</si>
  <si>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</si>
  <si>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</si>
  <si>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</si>
  <si>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</si>
  <si>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</si>
  <si>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</si>
  <si>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</si>
  <si>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</si>
  <si>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</si>
  <si>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</si>
  <si>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</si>
  <si>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</si>
  <si>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</si>
  <si>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</si>
  <si>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</si>
  <si>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</si>
  <si>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</si>
  <si>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</si>
  <si>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</si>
  <si>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</si>
  <si>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</si>
  <si>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</si>
  <si>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</si>
  <si>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</si>
  <si>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</si>
  <si>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</si>
  <si>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</si>
  <si>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</si>
  <si>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</si>
  <si>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</si>
  <si>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</si>
  <si>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</si>
  <si>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</si>
  <si>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</si>
  <si>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</si>
  <si>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</si>
  <si>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</si>
  <si>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</si>
  <si>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</si>
  <si>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</si>
  <si>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</si>
  <si>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</si>
  <si>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</si>
  <si>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</si>
  <si>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</si>
  <si>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</si>
  <si>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</si>
  <si>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</si>
  <si>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</si>
  <si>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</si>
  <si>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</si>
  <si>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</si>
  <si>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900 0409 111 00 11120 200</t>
  </si>
  <si>
    <t>900 0412 046 00 00011 400</t>
  </si>
  <si>
    <t>900 0412 046 00 00012 400</t>
  </si>
  <si>
    <t>900 0412 046 00 72912 400</t>
  </si>
  <si>
    <t>900 0412 046 00 11000 400</t>
  </si>
  <si>
    <t>900 0412 046 00 12000 400</t>
  </si>
  <si>
    <t>919 0502 101 00 13300 200</t>
  </si>
  <si>
    <t>911 0702 051 00 12050 800</t>
  </si>
  <si>
    <t>900 0909 075 00 11170 600</t>
  </si>
  <si>
    <t>900 0909 075 00 12170 600</t>
  </si>
  <si>
    <t>915 1006 084 00 70280 100</t>
  </si>
  <si>
    <t>905 0412 020 00 11000 200</t>
  </si>
  <si>
    <t xml:space="preserve">905 0113 020 00 17000 200 </t>
  </si>
  <si>
    <t>900 0707 051 00 16070 200</t>
  </si>
  <si>
    <t>911 0701 051 00 11200 800</t>
  </si>
  <si>
    <t>911 1004 052 00 52600 300</t>
  </si>
  <si>
    <t>900 0901 073 00 72210 600</t>
  </si>
  <si>
    <t>900 0905 074 00 72210 600</t>
  </si>
  <si>
    <t>900 0902 072 00 72210 600</t>
  </si>
  <si>
    <t>919 0503 113 00 11130 600</t>
  </si>
  <si>
    <t>919 0503 115 00 11150 600</t>
  </si>
  <si>
    <t>900 0501 043 00 09502 400</t>
  </si>
  <si>
    <t>905 1004 041 00 11500 400</t>
  </si>
  <si>
    <t>Администрации города:</t>
  </si>
  <si>
    <t>Дополнительно:</t>
  </si>
  <si>
    <t>907 0103 990 00 24000 100</t>
  </si>
  <si>
    <t>907 0103 990 00 24000 200</t>
  </si>
  <si>
    <t>904 0702 051 00 15230 600</t>
  </si>
  <si>
    <t>911 1003 052 00 72050 300</t>
  </si>
  <si>
    <t>911 1003 052 00 80120 300</t>
  </si>
  <si>
    <t xml:space="preserve">905 0113 020 00 19000 200 </t>
  </si>
  <si>
    <t>Единый налог на вмененный доход для отдельных видов деятельности</t>
  </si>
  <si>
    <t>Госпошлина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</si>
  <si>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 xml:space="preserve">Прочие доходы от компенсации затрат бюджетов городских округов 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</si>
  <si>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</si>
  <si>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за нарушения законодательства в области обеспечения санитарно-эпидимиологического благополучия человека и законодательства в сфере защиты прав потребителей</t>
  </si>
  <si>
    <t>Прочие денежные взыскания(штрафы) за административные правонарушения в области дорожного движения</t>
  </si>
  <si>
    <t>911 0709 051 00 13010 300</t>
  </si>
  <si>
    <t>911 0709 051 00 12020 600</t>
  </si>
  <si>
    <t xml:space="preserve"> - для реализации мероприятий развития субъектов малого и среднего предпринимательства (софинансирование грантовой поддержки ОБ) в сумме 383,5т.р.</t>
  </si>
  <si>
    <t>900 0412 140 00 R0640 800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</si>
  <si>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</si>
  <si>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911 0709 044 00 12200 400</t>
  </si>
  <si>
    <t xml:space="preserve"> - в связи с излишне запланированным фондом оплаты труда в Детском доме "Росток" в сумме 7532,0т.р.</t>
  </si>
  <si>
    <t>915 1003 086 00 70090 300</t>
  </si>
  <si>
    <t>915 1003 086 00 70090 200</t>
  </si>
  <si>
    <t>915 1003 086 00 52800 300</t>
  </si>
  <si>
    <t xml:space="preserve"> - на меры соцподдержки отдельных категорий граждан по оплате жилищно-коммунальных услуг в сумме 9000,0т.р.;</t>
  </si>
  <si>
    <t>915 1003 086 00 70190 100</t>
  </si>
  <si>
    <t xml:space="preserve"> - на обеспечение мер соцподдержки ветеранов труда (зубопротезирование) в сумме 23,3т.р.;</t>
  </si>
  <si>
    <t>915 1003 086 00 70010 300</t>
  </si>
  <si>
    <t>900 1003 086 00 70010 600</t>
  </si>
  <si>
    <t>915 1004 086 00 80050 300</t>
  </si>
  <si>
    <t>900 0104 015 00 71960 100</t>
  </si>
  <si>
    <t xml:space="preserve"> - на кредиторскую задолженность по оплате труда КДН и выплату сотруднику компенсаций при увольнении   в сумме 40,2т.р.;</t>
  </si>
  <si>
    <t>По Управлению культуры:</t>
  </si>
  <si>
    <t>913 0801 060 00 70420 600</t>
  </si>
  <si>
    <t>913 0801 060 00 51440 600</t>
  </si>
  <si>
    <t>911 0702 051 00 71830 600</t>
  </si>
  <si>
    <t>911 1003 052 00 72040 300</t>
  </si>
  <si>
    <t>911 0701 051 00 71800 100</t>
  </si>
  <si>
    <t>911 0702 051 00 71840 100</t>
  </si>
  <si>
    <t>911 1003 053 00 72070 100</t>
  </si>
  <si>
    <t>911 1003 053 00 72070 200</t>
  </si>
  <si>
    <t>911 1003 053 00 72050 300</t>
  </si>
  <si>
    <t>915 1003 086 00 70070 300</t>
  </si>
  <si>
    <t xml:space="preserve"> - на выплату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в сумме 600,0т.р.</t>
  </si>
  <si>
    <t xml:space="preserve"> - на проведение Губернаторской елки в сумме 80,0т.р.</t>
  </si>
  <si>
    <t>913 0801 060 00 70480 600</t>
  </si>
  <si>
    <t xml:space="preserve"> - на выплату Губернаторской стипендии отличникам учебы общеобразовательных организаций, в соответствии с поданной заявкой на потребность до конца 2016г., но не в полном объеме,  в сумме 189,90т.р.;</t>
  </si>
  <si>
    <t xml:space="preserve"> - на выплату Губернаторской стипендии обучающимся общеобразовательных организаций дополнительного образования, отличникам учебы, в соответствии с поданной заявкой на потребность до конца 2016г., но не в полном объеме,  в сумме 20,3т.р.;</t>
  </si>
  <si>
    <t>911 1003 052 00 72010 600</t>
  </si>
  <si>
    <t>913 1003 052 00 72010 300</t>
  </si>
  <si>
    <t>915 1002 085 00 70160 600</t>
  </si>
  <si>
    <t>915 1002 085 00 70170 100</t>
  </si>
  <si>
    <t xml:space="preserve"> - в связи с экономией по муниципальным контрактам на строительство и реконструкцию объектов систем водоснабжения и водоотведения за счет средств областного бюджета (строительство водовода диам. 500мм - 821,5т.р.; строительство водовода диам. 400мм - 3852,5т.р) в сумме 4674,0т.р.;</t>
  </si>
  <si>
    <t>900 0412 046 00 72911 400</t>
  </si>
  <si>
    <t xml:space="preserve"> - на технадзор по строительству и реконструкции объектов систем электроснабжения за счет средств областного бюджета (строительство подстанции Мазутная) в сумме 139,3т.р.;</t>
  </si>
  <si>
    <t xml:space="preserve"> - в связи с экономией по муниципальным контрактам на строительство и реконструкцию объектов систем электроснабжения за счет средств областного бюджета (строительство ВЛ-110-кВ) в сумме 373,0т.р.;</t>
  </si>
  <si>
    <t>915 1004 086 00 50840 300</t>
  </si>
  <si>
    <t>915 1003 086 00 80110 200</t>
  </si>
  <si>
    <t>915 1003 086 00 80110 300</t>
  </si>
  <si>
    <t xml:space="preserve"> - на поощрение победителей конкурса "Учитель года" в сумме 100,0т.р.;</t>
  </si>
  <si>
    <t>911 0702 051 00 71930 600</t>
  </si>
  <si>
    <t xml:space="preserve"> - на единовременные пособия при всех формах устройств детей в семью в сумме 269,1т.р.;</t>
  </si>
  <si>
    <t xml:space="preserve"> - на адресную соцподдержку участников образовательного процесса в сумме 1,0т.р.;</t>
  </si>
  <si>
    <t>911 0702 052 00 72000 300</t>
  </si>
  <si>
    <t>911 1004 052 00 80130 300</t>
  </si>
  <si>
    <t xml:space="preserve"> - на представление бесплатного проезда отличникам образовательных учреждений в сумме 385,1т.р.;</t>
  </si>
  <si>
    <t>911 1003 052 00 73050 200</t>
  </si>
  <si>
    <t>915 1003 086 00 70100 300</t>
  </si>
  <si>
    <t>915 1003 086 00 51370 300</t>
  </si>
  <si>
    <t>915 1003 086 00 80040 300</t>
  </si>
  <si>
    <t>на организацию приемки объектов инфраструктуры моногорода</t>
  </si>
  <si>
    <t>904 1101 090 00 11010 200</t>
  </si>
  <si>
    <t>904 1101 090 00 14010 200</t>
  </si>
  <si>
    <t>904 1102 090 00 13010 200</t>
  </si>
  <si>
    <t>919 0503 114 00 11140 600</t>
  </si>
  <si>
    <t xml:space="preserve"> - на наградной фонд на организацию приемки объектов инфраструктуры моногорода в сумме 176,5т.р. от:
 - ООО "Строительная компания РСУ-10" - 88,1т.р.;
 - ООО "Простройиндустрия" - 88,4т.р.</t>
  </si>
  <si>
    <t>913 0702 051 00 13010 600</t>
  </si>
  <si>
    <t xml:space="preserve"> + 1573,9 т.р. - Управлению культуры; </t>
  </si>
  <si>
    <t xml:space="preserve"> + 629,0 т.р. - ДМШ, ДХШ;</t>
  </si>
  <si>
    <t xml:space="preserve"> + 1204,2т.р. - ДЮСШ; </t>
  </si>
  <si>
    <t xml:space="preserve">  + 201,8т.р. - КФКиС;</t>
  </si>
  <si>
    <t xml:space="preserve"> + 146,9т.р. - ОООП;</t>
  </si>
  <si>
    <t xml:space="preserve"> + 8021,0т.р. - Управлению образования;</t>
  </si>
  <si>
    <t xml:space="preserve"> + 341,6т.р. - Управлению образования (аутсорсинг);</t>
  </si>
  <si>
    <t xml:space="preserve"> + 135,8т.р. - ГОиЧС;</t>
  </si>
  <si>
    <t xml:space="preserve"> + 116,6т.р. - Архив;</t>
  </si>
  <si>
    <t xml:space="preserve"> + 372,7т.р. - УЖ;</t>
  </si>
  <si>
    <t xml:space="preserve"> + 239,3т.р. - АДС;</t>
  </si>
  <si>
    <t xml:space="preserve"> + 98,2т.р. - МФЦ;</t>
  </si>
  <si>
    <t>УЖ</t>
  </si>
  <si>
    <t>919 0409 117 00 11110 600</t>
  </si>
  <si>
    <t>919 0503 112 00 12110 600</t>
  </si>
  <si>
    <t xml:space="preserve">905 0113 020 00 18000 200 </t>
  </si>
  <si>
    <t xml:space="preserve">905 0113 020 00 18000 800 </t>
  </si>
  <si>
    <t>919 0501 045 00 12200 800</t>
  </si>
  <si>
    <t>919 0113 020 00 16000 800</t>
  </si>
  <si>
    <t>900 0409 111 00 11120 400</t>
  </si>
  <si>
    <t>915 1003 086 00 51370 200</t>
  </si>
  <si>
    <t>919 1006 081 00 13400 300</t>
  </si>
  <si>
    <t>919 0402 103 00 14100 800</t>
  </si>
  <si>
    <t>905 0501 045 00 13000 200</t>
  </si>
  <si>
    <t>900 0113 033 00 12160 200</t>
  </si>
  <si>
    <t xml:space="preserve">905 0113 020 00 16000 800 </t>
  </si>
  <si>
    <t>913 0801 051 00 13010 600</t>
  </si>
  <si>
    <t>919 0502 101 00 17300 200</t>
  </si>
  <si>
    <t>919 0502 103 00 11300 800</t>
  </si>
  <si>
    <t>919 1006 081 00 14400 300</t>
  </si>
  <si>
    <t>915 1004 086 00 52700 300</t>
  </si>
  <si>
    <t>919 0502 103 00 12400 800</t>
  </si>
  <si>
    <t>900 0412 140 00 50640 800</t>
  </si>
  <si>
    <t>нет в пояснительной Клинцовй с резерва на наградной 169,2 (нет текста), 12,4 (с резервного на наградно на распоряжения о наградах)</t>
  </si>
  <si>
    <t>900 0113 015 00 70340 300</t>
  </si>
  <si>
    <t>900 0104 011 00 70340 200</t>
  </si>
  <si>
    <t>919 0503 115 00 70340 600</t>
  </si>
  <si>
    <t>МАУЗ "ЦГБ"</t>
  </si>
  <si>
    <t>911 0709 053 00 11520 800</t>
  </si>
  <si>
    <t>Управленин образовния:</t>
  </si>
  <si>
    <t>УО целевые</t>
  </si>
  <si>
    <t>фин.помощь на приобретение новогодних подарков для детей из малоимущих семей</t>
  </si>
  <si>
    <t xml:space="preserve"> - УСЗН на пр. "Милосердие" на приобретение подарков для детей из малообеспеченных семей в сумме 120,0 т.р. от:
 - ИП Бураков - 5,0т.р.;
 - ПАО "КТК"- 100,0т.р;
 - ООО "КЭнК" - 15,0т.р</t>
  </si>
  <si>
    <t xml:space="preserve"> - в связи с экономией по муниципальным контрактам на строительство и реконструкцию объектов систем электроснабжения за счет средств, поступивших от некоммерческой организации "Фонд развития моногородов" (строительство ВЛ-110-кВ - 7306,9т.р.; строительство подстанции Мазутная - 22662т.р) в сумме 29968,9т.р.;</t>
  </si>
  <si>
    <t xml:space="preserve"> - МБУЗ ЦГБ на обеспечение медицинской деятельности управления здравоохранения, связанной с донорством органов человека в целях трансплантации в сумме 720,0т.р.;</t>
  </si>
  <si>
    <t xml:space="preserve"> - на  выплаты социального пособия на погребение и возмещение расходов по гарантированному перечню услуг по погребению в сумме 5,6т.р.;</t>
  </si>
  <si>
    <t xml:space="preserve"> - на кредиторскую задолженность по заработной плате, образовавшуюся на 1.01.2016г. перед работниками дошкольных образовательных учреждений и на выполнение целевых показателей по ФОТ в соответствии с "дорожной картой"  в сумме 11397,0т.р.;</t>
  </si>
  <si>
    <t xml:space="preserve"> - на кредиторскую задолженность по заработной плате, образовавшуюся на 1.01.2016г. перед работниками общеобразовательных школ в сумме 13669,4т.р.;</t>
  </si>
  <si>
    <t xml:space="preserve"> - на кредиторскую задолженность по заработной плате, образовавшуюся на 1.01.2016г. перед работниками коррекционных общеобразовательных школ в сумме 1632,0т.р.;</t>
  </si>
  <si>
    <t xml:space="preserve"> - на кредиторскую задолженность по заработной плате, образовавшуюся на 1.01.2016г. перед работниками опеки и попечительства в сумме 157,8т.р., на прочие расходы - 2,2 т.р.;</t>
  </si>
  <si>
    <t xml:space="preserve"> - на выплаты инвалидам компенсаций страховых премий по договорам ОСАГО в сумме 1,4т.р.</t>
  </si>
  <si>
    <t xml:space="preserve"> - в связи с экономией по муниципальным контрактам на строительство и реконструкцию объектов систем водоснабжения и водоотведения за счет средств, поступивших от некоммерческой организации "Фонд развития моногородов" (строительство водовода диам. 500мм - 16220,1т.р.; строительство водовода диам. 400мм - 86040,8т.р) в сумме 102260,9т.р.;</t>
  </si>
  <si>
    <t>915 1004 086 00 R0840 200</t>
  </si>
  <si>
    <t>915 1004 086 00 R0840 300</t>
  </si>
  <si>
    <t>905 1004 086 00 R0820 400</t>
  </si>
  <si>
    <t>По КУМИ:</t>
  </si>
  <si>
    <t>915 1003 086 00 80070 300</t>
  </si>
  <si>
    <t>907 0103 990 00 20110 100</t>
  </si>
  <si>
    <t xml:space="preserve"> - на предоставление жилых помещений детям-сиротам и детям, оставшимся без попечения родителей в сумме 924,7т.р.;</t>
  </si>
  <si>
    <t xml:space="preserve"> - на предоставление мер соцподдержки гражданам, подвергшимся воздействию радиации в сумме 6,0т.р.;</t>
  </si>
  <si>
    <t xml:space="preserve"> - на государственную поддержку малого и среднего предпринимательства, включая крестьянские (фермерские) хозяйства за счет средств ФБ в сумме - 7286,5т.р.</t>
  </si>
  <si>
    <t xml:space="preserve"> - на денежные выплаты на ребенка, назначаемые в случае рождения третьего ребенка или последующих детей за счет средств федерального бюджета в сумме - 2254,2т.р., областного бюджета в сумме - 2327,6т.р.;</t>
  </si>
  <si>
    <t xml:space="preserve"> - на кредиторскую задолженность по заработной плате, образовавшуюся на 1.01.2016г. работникам УСЗН   (952,6т.р.), а также на прочие расходы (25,0т.р.) в сумме 977,6т.р.;</t>
  </si>
  <si>
    <t xml:space="preserve"> - в связи с непоступлением целевых средств  в сумме 97,3т.р.;</t>
  </si>
  <si>
    <t xml:space="preserve"> - на оплату услуг ГТРК в сумме 864,6т.р.</t>
  </si>
  <si>
    <t xml:space="preserve"> - на выплату компенсации за неиспользованный отпуск при увольнении Главе городского округа в сумме  255,7т.р.</t>
  </si>
  <si>
    <t xml:space="preserve"> -для выплаты пенсии по выслуге лет лицам, замещавшим муниципальные должности в сумме 42,2т.р.</t>
  </si>
  <si>
    <r>
      <t xml:space="preserve"> - за счет увеличения источников финансирования дефицита бюджета (бюджетный кредит), в том числе на:
- </t>
    </r>
    <r>
      <rPr>
        <i/>
        <u/>
        <sz val="13"/>
        <rFont val="Times New Roman"/>
        <family val="1"/>
        <charset val="204"/>
      </rPr>
      <t xml:space="preserve"> кредиторскую задолженность по заработной плате, сложившуюся на 1.01.2016г. муниципальных учреждений в сумме 13081,0т.р., из них:</t>
    </r>
  </si>
  <si>
    <t xml:space="preserve"> - по вакцинопрофилактике по фактически произведенным расходам в сумме  72,3т.р.;</t>
  </si>
  <si>
    <t xml:space="preserve">МАУ "ЦГБ" </t>
  </si>
  <si>
    <t>подьемные молодым специалистам в сумме 15,0 т.р.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</si>
  <si>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</si>
  <si>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</si>
  <si>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</si>
  <si>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</si>
  <si>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</si>
  <si>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</si>
  <si>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</si>
  <si>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</si>
  <si>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 по делам, рассматриваемым в судах общей юрисдикции, мировыми судьями ( за исключением Верховного Суда РФ)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</si>
  <si>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</si>
  <si>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</si>
  <si>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</si>
  <si>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</si>
  <si>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</t>
  </si>
  <si>
    <t>Доходы от возмещения ущерба при возникновении страховых случаях</t>
  </si>
  <si>
    <t>Денежные взыскания(штрафы) за нарушение законодательства в области окружающей среды</t>
  </si>
  <si>
    <t>Денежные взыскания (штрафы) за нарушение земельного законодательства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</si>
  <si>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</si>
  <si>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к  решению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</si>
  <si>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855 0113 015 00 17000 800</t>
  </si>
  <si>
    <t>855 0113 015 00 16130 300</t>
  </si>
  <si>
    <t>855 0111 015 00 13070 800</t>
  </si>
  <si>
    <t xml:space="preserve"> - на выплату зарплаты Анжеро-Судженскому станичному казачьему обществу в сумме 47,4т.р.</t>
  </si>
  <si>
    <t>900 1003 071 00 72430 600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</si>
  <si>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</t>
    </r>
  </si>
  <si>
    <t xml:space="preserve"> За достижение наилучших показателей в качестве управления муниципальными финансами- 1250,0 т.р.</t>
  </si>
  <si>
    <t xml:space="preserve"> -экономия по денежным выплатам гражданам, имеющим звание "Почетный гражданин Анжеро-Судженского городского округа" (отказ почетного гражданина от единовременной выплаты) в сумме - 34,5т.р.</t>
  </si>
  <si>
    <t xml:space="preserve"> +67,7т.р. для оплаты АО Каскад-Энерго за тепло с направлением на расчеты за уголь с ПАО КТК;</t>
  </si>
  <si>
    <t xml:space="preserve"> +7,0т.р. для оплаты ООО УК Жилсервис для ООО Теплоснабжение для расч. за тепло  на расчеты за уголь с ОАО "СУЭК-Кузбасс";</t>
  </si>
  <si>
    <t xml:space="preserve"> +630,1т.р. для оплаты коммунальных, з/платы ГПХ, ГСМ, прочих расходов</t>
  </si>
  <si>
    <t xml:space="preserve"> +8,5т.р.для оплаты ООО Теплоснабжение ООО Водосбыт за тепло с направлением на расчеты за уголь с ОАО СУЭК-Кузбасс;</t>
  </si>
  <si>
    <t xml:space="preserve"> +12,3т.р.  для оплаты за услуги САХ</t>
  </si>
  <si>
    <t xml:space="preserve">КФиС </t>
  </si>
  <si>
    <t xml:space="preserve"> +15,1т.р. для оплаты ООО Теплоснабжение ООО Водосбыт за тепло с направлением на расчеты за уголь с ОАО СУЭК-Кузбасс;</t>
  </si>
  <si>
    <t xml:space="preserve"> +91,8 для оплаты АО Каскад-Энерго за тепло с направлением на расчеты за уголь с ПАО КТК;</t>
  </si>
  <si>
    <t xml:space="preserve"> +300,0т.р. на выпадающие доходы за услуги теплоснабжения (для ООО Сибирский колос" за тепло на з/плату);</t>
  </si>
  <si>
    <t xml:space="preserve"> + 338,0 тыс.руб. возмещение убытков, возникших в результате применения государственных регулируемых цен за реализацию угля населению</t>
  </si>
  <si>
    <t xml:space="preserve"> +51380,0т.р.для оплаты ООО "Теплоснабжение" за тепло с направлением на расчеты за уголь с ОАО СУЭК-Кузбасс</t>
  </si>
  <si>
    <t xml:space="preserve"> +2000,0т.р. для расчетов за тепловую энергию и уголь с напр. ЗАО "Стройсервис"</t>
  </si>
  <si>
    <t xml:space="preserve"> +1500,0т.р. для оплаты за тепловую энергию и уголь с напр. "Кузбасстопливосбыт"</t>
  </si>
  <si>
    <t xml:space="preserve"> +4500,0т.р.  зарплата дорожникам (октябрь);</t>
  </si>
  <si>
    <t xml:space="preserve"> + 5000,0т.р. на гашение кредиторской задолженности за ремонт автодороги по ул. Куйбышева;</t>
  </si>
  <si>
    <t xml:space="preserve">бюджетный кредит </t>
  </si>
  <si>
    <t xml:space="preserve"> + 1209,0т.р. на оплату КЭСК за благоустройство;</t>
  </si>
  <si>
    <t xml:space="preserve"> МФЦ</t>
  </si>
  <si>
    <t xml:space="preserve"> +6,1т.р. для оплаты за электроэнергию КЭСК;</t>
  </si>
  <si>
    <t xml:space="preserve"> +150,3т.р. для оплаты за электроэнергию КЭСК;</t>
  </si>
  <si>
    <t xml:space="preserve"> +7,8т.р.Водосбыт за воду для последующих расчетов за химреагенты</t>
  </si>
  <si>
    <r>
      <rPr>
        <b/>
        <sz val="13"/>
        <rFont val="Times New Roman"/>
        <family val="1"/>
        <charset val="204"/>
      </rPr>
      <t xml:space="preserve">КФиС </t>
    </r>
    <r>
      <rPr>
        <sz val="13"/>
        <rFont val="Times New Roman"/>
        <family val="1"/>
        <charset val="204"/>
      </rPr>
      <t xml:space="preserve">
- на оплату за электроэнергию КЭСК в сумме 245,9т.р.;</t>
    </r>
  </si>
  <si>
    <t xml:space="preserve"> - Водосбыт за воду для последующих расчетов за химреагенты в сумме 7,8т.р.</t>
  </si>
  <si>
    <t xml:space="preserve"> +50,0т.р. снежный городок благоустройство</t>
  </si>
  <si>
    <t xml:space="preserve"> +115,9 для оплаты ОАО Каскад-Энерго за тепло на з/плату</t>
  </si>
  <si>
    <t xml:space="preserve"> +25,1т.р. для оплаты ООО Теплоснабжение ООО Водосбыт за тепло для последующих расчетов за электроэнергию КЭСК;</t>
  </si>
  <si>
    <t xml:space="preserve"> +189,0 для оплаты ОАО Каскад-Энерго за тепло на з/плату</t>
  </si>
  <si>
    <t xml:space="preserve"> +311,0т.р. для оплаты ООО Теплоснабжение ООО Водосбыт за тепло для последующих расчетов за электроэнергию КЭСК</t>
  </si>
  <si>
    <t xml:space="preserve"> +3293,8 т.р. для оплаты ООО Теплоснабжение ООО Водосбыт за тепло для последующих расчетов за электроэнергию КЭСК</t>
  </si>
  <si>
    <t xml:space="preserve"> - на кредиторскую задолженность, образовавшуюся на 1.01.2016г. по ежемесячным выплатам стимулирующего характера работникам библиотек, музеев и культурно-досуговых учреждений в сумме 210,0т.р.</t>
  </si>
  <si>
    <t xml:space="preserve"> - на кредиторскую задолженность по оплате труда Управлению здравоохранения  в сумме 1508,0т.р.;</t>
  </si>
  <si>
    <t xml:space="preserve"> - на  оплату за жилищно-коммунальные услуги отдельным категориям граждан (ФБ) в сумме 11000,0т.р.;</t>
  </si>
  <si>
    <t xml:space="preserve"> - на обеспечение мер соцподдержки ветеранов труда в сумме 439,0т.р.;</t>
  </si>
  <si>
    <t xml:space="preserve"> - на  оказание мер соцподдержки инвалидов в сумме 1,0т.р.;</t>
  </si>
  <si>
    <t xml:space="preserve"> - на питание детей из многодетных семей в сумме 513,0т.р.;</t>
  </si>
  <si>
    <t xml:space="preserve"> - на  оказание мер соцподдержки ветеранов ВОВ и ветеранов труда в сумме 117,4т.р.;</t>
  </si>
  <si>
    <t xml:space="preserve"> - на  оказание мер соцподдержки реабилитированных и лиц, признанных пострадавшими от политических репрессий в сумме 418,5т.р.;</t>
  </si>
  <si>
    <t xml:space="preserve"> - на ежемесячные пособия на ребенка в сумме 671,0т.р.;</t>
  </si>
  <si>
    <t xml:space="preserve"> - на предоставление мер соцподдержки многодетным матерям  (возмещение коммунальных, связь) в сумме - 48,0т.р.;</t>
  </si>
  <si>
    <t xml:space="preserve"> - на меры соцподдержки отдельных категорий приемных родителей в сумме 14,8т.р.;</t>
  </si>
  <si>
    <t xml:space="preserve"> - на денежную выплату по ЗКО №156-ОЗ от 12.12.2006г. отдельным категориям граждан (инвалиды детства, награжденные блокадники, 90-летние и т.д.) в сумме 15,0т.р.</t>
  </si>
  <si>
    <t xml:space="preserve"> - на соцподдержку граждан, достигших возраста 70 лет в сумме 2,0т.р.;</t>
  </si>
  <si>
    <t xml:space="preserve"> - на  выплаты социального пособия на погребение и возмещение расходов по гарантированному перечню услуг по погребению в сумме 254,4т.р.;</t>
  </si>
  <si>
    <t xml:space="preserve"> - на соц.помощь малоимущим семьям, одиноко проживающим гражданамв сумме 56,0т.р.</t>
  </si>
  <si>
    <t xml:space="preserve"> - на пенсии КО в сумме 1147,0т.р.;</t>
  </si>
  <si>
    <t xml:space="preserve"> - на  оказание мер соцподдержки отдельным категориям граждан  (ЕДВ на ЖКУ инвалидам ВОВ) в сумме 306,3т.р.;</t>
  </si>
  <si>
    <t xml:space="preserve"> - на ежемесячные денежные выплаты отдельным категориям граждан, воспитывающим детей в возрасте от 1,5 до 7 лет по потребности до конца 2016г., в соответствии с поданной заявкой (отчет 07-ОФСС) в сумме 70,0т.р.;</t>
  </si>
  <si>
    <t xml:space="preserve"> - на проведение всероссийской переписи в 2016г. в сумме 211,7т.р.;</t>
  </si>
  <si>
    <t xml:space="preserve"> - на осуществление полномочия по осуществлению ежегодной денежной выплаты лицам, награжденным нагрудным знаком "Почетный донор России" в сумме 149,2т.р.</t>
  </si>
  <si>
    <t xml:space="preserve"> - на  выплаты единовременных пособий беременной жене военнослужащих, проходящих военную службу по призыву в сумме - 628,9т.р.;</t>
  </si>
  <si>
    <t xml:space="preserve"> - на меры соцподдержки работников муниципальных учреждений социального обслуживания в сумме 18,3т.р.;</t>
  </si>
  <si>
    <t xml:space="preserve"> -для оплаты командировочных расходов в сумме 2,0т.р.</t>
  </si>
  <si>
    <t xml:space="preserve"> - для приобретения инвентаря для игровых комнат по подпрограмме "Оорганизации круглогодичного отдыха, оздоровления и занятости обучающихся" в сумме 11,3751т.р.</t>
  </si>
  <si>
    <t xml:space="preserve"> -целевые от почетного гражданина Целко А.С. на приобретение сувенирной прдукции в сумме 5,0 т.р.</t>
  </si>
  <si>
    <t xml:space="preserve"> -в связи с  излишне запланированными соредствами по летнему отдыху МКОУ Школа № 37 в сумме 26,2т.р.</t>
  </si>
  <si>
    <t xml:space="preserve"> -в связи с образовавшейся экономией после заключения муниципальных контрактов по проведению геофизических исследований, инженерно- геологических изысканий для строительства общеобразовательной школы на 825 мест в ВЖР в сумме 673,3т.р.</t>
  </si>
  <si>
    <t xml:space="preserve"> +1747,3т.р.для оплаты за ямочный ремонт Зор-Строй, Шанс, Кемеровское ДРСУ; контроль качества дорожного полотна- Кузбасский центр дорожных исследований, </t>
  </si>
  <si>
    <t xml:space="preserve"> +193,8т.р. для частичного возмещения затрат по предоставлению банных услуг с направлением на расчеты за электроэнергию КЭСК</t>
  </si>
  <si>
    <t xml:space="preserve"> +4,7 т.р. на оплату за воду Водосбыт благоустройство</t>
  </si>
  <si>
    <t xml:space="preserve"> +204,6 для оплаты задолженности по незаселенным муниципальным квартирам (оплата коммунальных услуг, квартплата)</t>
  </si>
  <si>
    <t xml:space="preserve"> - на погашение задолженности за коммунальные услуги (эл.энергия, вода), на приобретение моющих,  гсм, бумаги, на погашение задолженности перед ООО "Наш город", ВГТРК, САХ, ЖЭУ Западный в сумме 1120,8т.р.</t>
  </si>
  <si>
    <t xml:space="preserve"> -в связи с поступлением материнского капитала в счет оплаты за детский сад в сумме 50,0т.р.</t>
  </si>
  <si>
    <t xml:space="preserve"> - в связи с увеличением получателей мер социальной поддержки многодетных семей в сумме 8,53074т.р.</t>
  </si>
  <si>
    <t>914 1003 086 00 70100 200</t>
  </si>
  <si>
    <t>914 1003 086 00 80100 200</t>
  </si>
  <si>
    <t>915 1003 08600 70080 200</t>
  </si>
  <si>
    <t xml:space="preserve"> -на наградной фонд в связи с фактически произведенными расходами в сумме 473,4 т.р.</t>
  </si>
  <si>
    <t xml:space="preserve"> + 387,5т.р. САХ благоустройство</t>
  </si>
  <si>
    <t xml:space="preserve"> +900,0 для оплаты ОАО Каскад-Энерго за тепло на з/плату</t>
  </si>
  <si>
    <t>915 1006 081 00 70340 200</t>
  </si>
  <si>
    <t>Архив</t>
  </si>
  <si>
    <t xml:space="preserve"> +58,9т.р.для оплаты кредиторской задолженности по з/пл (2 ст.)</t>
  </si>
  <si>
    <t xml:space="preserve"> +815,2т.р.для оплаты кредиторской задолженности по з/пл (2 ст.)учр.культуры</t>
  </si>
  <si>
    <t xml:space="preserve"> +374,5т.р.для оплаты кредиторской задолженности по з/пл (2 ст.) ДМШ</t>
  </si>
  <si>
    <t xml:space="preserve"> +114,3т.р.для оплаты кредиторской задолженности по з/пл (2 ст.)учр.физкультуры</t>
  </si>
  <si>
    <t xml:space="preserve"> +610,5т.р.для оплаты кредиторской задолженности по з/пл (2 ст.) ДЮСШ</t>
  </si>
  <si>
    <t xml:space="preserve"> +3550,0 т.р. гсм благоустройство;</t>
  </si>
  <si>
    <t>АДС</t>
  </si>
  <si>
    <t>ОООП</t>
  </si>
  <si>
    <t xml:space="preserve"> +183,4т.р.для оплаты кредиторской задолженности по з/пл (2 ст.)</t>
  </si>
  <si>
    <t xml:space="preserve"> +109,2т.р.для оплаты кредиторской задолженности по з/пл (2 ст.)</t>
  </si>
  <si>
    <t xml:space="preserve"> +74,0т.р.для оплаты кредиторской задолженности по з/пл (2 ст.)</t>
  </si>
  <si>
    <t xml:space="preserve"> - ООО "РОЗНИЦА К-1" - 30,0т.р.</t>
  </si>
  <si>
    <t xml:space="preserve"> - экономия по подпрограмме Содействие формированию положительного имиджа предпринимательской деятельности в рамках муниципальной программы "Развитие  и поддержка субъектов малого и среднего предпринимательства Анжеро-Судженского городского округа" в сумме 24,4т.р.</t>
  </si>
  <si>
    <t xml:space="preserve"> +6,1 благоустройсто (электрика)</t>
  </si>
  <si>
    <t xml:space="preserve"> +3930,6 т.р.для оплаты кредиторской задолженности по з/пл (2 ст.)</t>
  </si>
  <si>
    <t xml:space="preserve"> -экономия по фонду оплаты труда высшего должностного лица в сумме 96,2т.р.</t>
  </si>
  <si>
    <t xml:space="preserve"> -не поступление средств от граждан за лишние квадратные метры получаемого жилья в рамках реализации региональной адресной программы в соответствии с 185-ФЗ в связи с тем, что срок сдачи жилья в- 2017 году в сумме 1720,8т.р.</t>
  </si>
  <si>
    <t xml:space="preserve"> -муниципальные пенсии в связи со смертью получателя в сумме 5,1т.р.</t>
  </si>
  <si>
    <t>КСП</t>
  </si>
  <si>
    <t>906 0106 990 00 24000 100</t>
  </si>
  <si>
    <t>906 0106 990 00 20130 100</t>
  </si>
  <si>
    <r>
      <rPr>
        <b/>
        <sz val="13"/>
        <rFont val="Times New Roman"/>
        <family val="1"/>
        <charset val="204"/>
      </rPr>
      <t>КУМИ:</t>
    </r>
    <r>
      <rPr>
        <sz val="13"/>
        <rFont val="Times New Roman"/>
        <family val="1"/>
        <charset val="204"/>
      </rPr>
      <t xml:space="preserve">
 - региональный оператор в сумме - 1000,0т.р.</t>
    </r>
  </si>
  <si>
    <r>
      <t>Финансовое управление
 -</t>
    </r>
    <r>
      <rPr>
        <sz val="13"/>
        <rFont val="Times New Roman"/>
        <family val="1"/>
        <charset val="204"/>
      </rPr>
      <t xml:space="preserve"> (резервный фонд)</t>
    </r>
    <r>
      <rPr>
        <b/>
        <sz val="13"/>
        <rFont val="Times New Roman"/>
        <family val="1"/>
        <charset val="204"/>
      </rPr>
      <t>-</t>
    </r>
    <r>
      <rPr>
        <sz val="13"/>
        <rFont val="Times New Roman"/>
        <family val="1"/>
        <charset val="204"/>
      </rPr>
      <t xml:space="preserve"> в связи с отсутствием фактических расходов в сумме - 1780,6 тыс.руб.:</t>
    </r>
  </si>
  <si>
    <t xml:space="preserve"> -поздравления и памятные подарки- в связи с отсутствием фактических расходов в сумме - 3,9тыс.руб.:</t>
  </si>
  <si>
    <t xml:space="preserve"> -в связи с уменьшением получателей мер социальной поддержки многодетных семей в сумме 8,53074т.р.</t>
  </si>
  <si>
    <t>КФиС</t>
  </si>
  <si>
    <t xml:space="preserve"> +3496,9т.р. для оплаты АО Каскад-Энерго за тепло с направлением на расчеты за уголь с ПАО КТК;</t>
  </si>
  <si>
    <t xml:space="preserve"> -за счет получения бюджетного кредита из областного бюджета- 100000,0тыс.руб. (93883,3т.р.)</t>
  </si>
  <si>
    <t>915 1003 086 00 70010 200</t>
  </si>
  <si>
    <t xml:space="preserve"> - на бесплатное обеспечение лекарственными препаратами детей-сирот в сумме 11,2т.р.</t>
  </si>
  <si>
    <t xml:space="preserve"> - на реализацию программ местного развития и обеспечения занятости для шахтерских городов и поселков в сумме 122510,2т.р.;</t>
  </si>
  <si>
    <t xml:space="preserve"> - в связи с  изменениями о назначении компенсации родительской платы (только малоимущим) за присмотр и уход, взимаемой с родителей детей, осваивающих образ.программы в дошкольных учреждениях (Постановление КО от 16.08.2016г. № 324) в сумме 1242,0т.р.</t>
  </si>
  <si>
    <t xml:space="preserve"> - в связи с отсутствием потребности, по данным Управления образования, на бесплатный проезд детей-сирот и детей, оставшихся без попечения родителей (отчет 01-ОФСС) в сумме 71,0т.р.</t>
  </si>
  <si>
    <t xml:space="preserve"> - в связи с отсутствием потребности, по данным Управления образования, на накопительные счета детей-сирот и детей, оставшихся без попечения родителей (отчет 01-ОФСС) в сумме 78,0т.р.</t>
  </si>
  <si>
    <t xml:space="preserve"> - на  предоставление бесплатного проезда детям работников, погибших в результате несчастного случая на производстве угледобывающих и горнорудных предпритиях в сумме 2,0т.р.;</t>
  </si>
  <si>
    <t xml:space="preserve"> - на  оказание мер соцподдержки отдельным категориям граждан, оказание мер соцподдержки которым относятся к ведению субъекта РФ (монетизация льгот ЖКУ ВВиТр, реабилит., сельким, опекаемым) в сумме 1500,0т.р.;</t>
  </si>
  <si>
    <t xml:space="preserve"> - в связи с уменьшением, предусмотренных соглашением, сумм на комплектование книжных фондов библиотек в сумме 7,0т.р.</t>
  </si>
  <si>
    <t xml:space="preserve"> - КЦСО в сумме - 3581,6т.р. (на кредиторскую задолженность по з/плате на 01.01.2016  в сумме 4277,6т.р.,прочие расходы согласно представленной заявки 5-ОФСС-696,0т.р.);</t>
  </si>
  <si>
    <t xml:space="preserve"> - СРЦН и РЦДиП   в сумме - 1868,0т.р.(на кредиторскую задолженность по з/плате на 01.01.2016- 1782,3, прочие расходы  согласно отчета 4-ОФСС в сумме -85,7т.р.);</t>
  </si>
  <si>
    <t xml:space="preserve"> - в связи с отсутствием фактических расходов по подпрограмме "Организации круглогодичного отдыха, оздоровления и занятости обучающихся" в сумме 11,4т.р.</t>
  </si>
  <si>
    <t xml:space="preserve"> -ФОТ по фактическому начислению з/пл в сумме 47,0.р.</t>
  </si>
  <si>
    <t xml:space="preserve"> -ФОТ по фактическому начислению з/пл в сумме 0,1т.р.</t>
  </si>
  <si>
    <t xml:space="preserve"> -ФОТ по фактическому начислению з/пл в сумме 10,6т.р.</t>
  </si>
  <si>
    <t xml:space="preserve"> -ФОТ по фактическому начислению з/пл в сумме 83,9т.р.</t>
  </si>
  <si>
    <t xml:space="preserve"> -процентные платежи по муниципальному долгу Анжеро-Судженского городского округа в соответствии с произведенными расходами в сумме 253,7т.р.</t>
  </si>
  <si>
    <t xml:space="preserve"> -ФОТ по фактическому начислению з/пл учреждениям физкультуры в сумме 7,3т.р., ДЮСШ  в сумме 88,8т.р.</t>
  </si>
  <si>
    <t xml:space="preserve"> -ФОТ по фактическому начислению з/пл  учреждениям культуры в сумме 6,6т.р.</t>
  </si>
  <si>
    <t xml:space="preserve"> -ФОТ по фактическому начислению з/пл в сумме 3,7т.р.</t>
  </si>
  <si>
    <t xml:space="preserve"> -ФОТ по фактическому начислению з/пл в сумме 0,8т.р.</t>
  </si>
  <si>
    <r>
      <t>Финансовое управление (наградной фонд)
-</t>
    </r>
    <r>
      <rPr>
        <sz val="13"/>
        <rFont val="Times New Roman"/>
        <family val="1"/>
        <charset val="204"/>
      </rPr>
      <t>для оказания гумманитарной помощи детям Сирии в сумме 30,0 тыс.руб.</t>
    </r>
  </si>
  <si>
    <t xml:space="preserve"> +999,2т.р. за уголь населению "Кузбасстопливосбыт"</t>
  </si>
  <si>
    <t>ГОиЧС</t>
  </si>
  <si>
    <t xml:space="preserve"> +5,0т.р. на минерализованные полосы</t>
  </si>
  <si>
    <t>фин.помощь на оформление снежного городка</t>
  </si>
  <si>
    <t>УО платные</t>
  </si>
  <si>
    <t>на кредиторскую задолженность по заработной плате, сложившуюся на 1.01.2016г. муниципальных учреждений за счет бюджетного кредита на 1.11.12 (90000-76919)</t>
  </si>
  <si>
    <t>ГТРК</t>
  </si>
  <si>
    <t>з/плата под факт</t>
  </si>
  <si>
    <t>% по кредиту под факт</t>
  </si>
  <si>
    <t>предпринимательство под факт</t>
  </si>
  <si>
    <t>наградной фонд по факту</t>
  </si>
  <si>
    <t>КУМИ (оформление документов за детей-сирот)</t>
  </si>
  <si>
    <t>резервный фонд</t>
  </si>
  <si>
    <t>муниципальные пенсии</t>
  </si>
  <si>
    <t xml:space="preserve">Не поступили средства от АО "НефтеХимСервис" </t>
  </si>
  <si>
    <t xml:space="preserve">не поступление средств от граждан за лишние квадратные метры получаемого жилья в рамках реализации региональной адресной программы в соответствии с 185-ФЗ в связи с тем, что срок сдачи жилья в- 2017 году </t>
  </si>
  <si>
    <t xml:space="preserve"> -на соц.поддержку граждан при всех формах устройства детей, лишенных род.попеч. в семью под фактические расходы в сумме 2039,0т.р.</t>
  </si>
  <si>
    <t>Управление культуры- на  устройство снежного городка от Кузнецкие феросплавы в сумме- 50,0т.р.</t>
  </si>
  <si>
    <t>904 1105 090 00 11040 200</t>
  </si>
  <si>
    <t xml:space="preserve"> +52,2т.р.для оплаты кредиторской задолженности по з/пл (2 ст.)</t>
  </si>
  <si>
    <t xml:space="preserve"> +4856,9т.р.  зарплата дорожникам (ноябрь);</t>
  </si>
  <si>
    <t xml:space="preserve"> -отсутствие расходов по оплате гос.пошлин за оформление документов на жилье детям-сиротам  в сумме 31,3т.р.</t>
  </si>
  <si>
    <t xml:space="preserve"> - на меры соцподдержки семей, имеющих детей (материнский капитал) в сумме - 1298,7т.р.;
- на предоставление гражданам субсидий на оплату жилого помещения, коммунальных услуг в сумме - 5827,0 т.р.;</t>
  </si>
  <si>
    <t>900 0113 990 00 53910 200</t>
  </si>
  <si>
    <t>900 0402 043 00 51560 300</t>
  </si>
  <si>
    <t>900 0501 043 00 09602 400</t>
  </si>
  <si>
    <t>915 1003 086 00 70020 300</t>
  </si>
  <si>
    <t>915 1003 086 00 70020 200</t>
  </si>
  <si>
    <t>915 1003 086 00 70030 200</t>
  </si>
  <si>
    <t>915 1003 086 00 70040 200</t>
  </si>
  <si>
    <t>915 1003 086 00 70040 300</t>
  </si>
  <si>
    <t>915 1003 086 00 70060 200</t>
  </si>
  <si>
    <t>915 1003 086 00 70070 200</t>
  </si>
  <si>
    <t>915 1003 086 00 70080 300</t>
  </si>
  <si>
    <t>915 1003 086 00 80080 200</t>
  </si>
  <si>
    <t>915 1003 086 00 80080 300</t>
  </si>
  <si>
    <t>915 1003 086 00 80090 200</t>
  </si>
  <si>
    <t>916 1003 086 00 80090 300</t>
  </si>
  <si>
    <t>915 1003 086 00 52500 300</t>
  </si>
  <si>
    <t>УСЗН по факту поддержка общественных организаций по программе "Милосердие"</t>
  </si>
  <si>
    <t xml:space="preserve"> -общественные организация в соответствии с фактичски произведенными расходами в сумме 113,6т.р.</t>
  </si>
  <si>
    <t>УЖ по факту коммунальные</t>
  </si>
  <si>
    <t xml:space="preserve"> -коммунальные под фктические расходы в сумме 3,8т.р.</t>
  </si>
  <si>
    <t xml:space="preserve"> -коммунальные под фктические расходы в сумме 55,3т.р.</t>
  </si>
  <si>
    <t xml:space="preserve"> - в связи с образовавшейся экономией по теплу, электроэнергии в сумме- 133,9т.р.</t>
  </si>
  <si>
    <t xml:space="preserve"> -коммунальные под фктические расходы в сумме 12,1т.р.</t>
  </si>
  <si>
    <t xml:space="preserve"> - отдел молодежи под фактические расходы по мероприятиям в сумме 86,0т.р.</t>
  </si>
  <si>
    <t xml:space="preserve"> -коммунальные под фктические расходы в сумме 101,6т.р.</t>
  </si>
  <si>
    <t>Отдел молодежи по факту проведенных мероприятий</t>
  </si>
  <si>
    <t>УО по факту коммунальные</t>
  </si>
  <si>
    <t>Управление культуры по факту коммунальные</t>
  </si>
  <si>
    <t>КУМИ по факту коммунальные</t>
  </si>
  <si>
    <t>МФЦ по факту коммунальные</t>
  </si>
  <si>
    <t>900 0901 076 00 72210 600</t>
  </si>
  <si>
    <t>900 0902 076 00 72210 600</t>
  </si>
  <si>
    <t>900 0412 046 00 12800 200</t>
  </si>
  <si>
    <t>900 1301 120 00 11000 700</t>
  </si>
  <si>
    <t>900 0309 015 00 13070 200</t>
  </si>
  <si>
    <t xml:space="preserve">900 0113 130 00 11170 600 </t>
  </si>
  <si>
    <t>911 0709 053 00 72070 200</t>
  </si>
  <si>
    <t>911 1006 081 00 11400 600</t>
  </si>
  <si>
    <t>913 0702 051 00 71940 600</t>
  </si>
  <si>
    <t>915 0113 015 00 16130 200</t>
  </si>
  <si>
    <t>915 1003 086 00 52800 200</t>
  </si>
  <si>
    <t>915 1003 086 00 70050 200</t>
  </si>
  <si>
    <t>919 0113 015 00 16130 200</t>
  </si>
  <si>
    <t>919 0502 101 00 14300 200</t>
  </si>
  <si>
    <t>919 0502 101 00 15300 200</t>
  </si>
  <si>
    <t>915 1006 081 00 12400 600</t>
  </si>
  <si>
    <t>915 1004 086 00 53800 200</t>
  </si>
  <si>
    <t>911 0709 051 00 71940 600</t>
  </si>
  <si>
    <t>911 0709 051 00 71940 200</t>
  </si>
  <si>
    <t>911 0709 051 00 18220 600</t>
  </si>
  <si>
    <t>905 0113 015 00 16130 300</t>
  </si>
  <si>
    <t>900 0113 015 00 17000 800</t>
  </si>
  <si>
    <t>900 0104 015 00 79060 100</t>
  </si>
  <si>
    <t>900 0104 015 00 79060 200</t>
  </si>
  <si>
    <t>900 0113 015 00 16130 200</t>
  </si>
  <si>
    <t>901 0113 015 00 16130 300</t>
  </si>
  <si>
    <t>902 0113 015 00 16130 600</t>
  </si>
  <si>
    <t>903 0113 015 00 16130 800</t>
  </si>
  <si>
    <t>911 0709 053 00 72070 100</t>
  </si>
  <si>
    <t>Администрация (Глава) ст. 212</t>
  </si>
  <si>
    <t xml:space="preserve"> -на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 в сумме 0,048т.р</t>
  </si>
  <si>
    <t xml:space="preserve"> - на обеспечение мероприятий по переселению граждан из аварийного жилищного фонда 185-ФЗ (ОБ) в сумме 97440,3т.р.;</t>
  </si>
  <si>
    <t xml:space="preserve"> -на обеспечение мероприятий по переселению граждан из аварийного жилого фонда 185-ФЗ (ФБ) в сумме 42000,0т.р.</t>
  </si>
  <si>
    <t xml:space="preserve"> -на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 в сумме 0,052т.р.</t>
  </si>
  <si>
    <t>3. По источникам финансирования (приложения № 5, 6):
Уменьшаются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44933,6т.р., по фактически полученным кредитам.
Увеличиваются источники финансирования дефицита бюджета по строке "Получение бюджетных кредитов от других бюджетов бюджетной системы Российской Федерации в валюте Российской Федерации" на 148145,0 т.р. 
Увеличиваются источники финансирования дефицита бюджета по строке "Погашение бюджетами городских округов кредитов от других бюджетов бюджетной системы Российской Федерации в валюте Российской Федерации" на 187200,3т.р., по фактически расходам на погашение бюджетного кредита.
Увеличиваются источники финансирования дефицита бюджета по строке "Уменьшение прочих остатков денежных средств бюджетов городских округов" на 1122,8т.р.</t>
  </si>
  <si>
    <t>Факт на 01.01.2017</t>
  </si>
  <si>
    <t>1376(по факту поступления на 01.01.17г)</t>
  </si>
  <si>
    <t>1084,0(по факту поступления на 01.01.17г)</t>
  </si>
  <si>
    <t>317,0(по факту поступления на 01.01.17г)</t>
  </si>
  <si>
    <t>6388,0(по факту поступления на 01.01.17г)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</si>
  <si>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</si>
  <si>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98,0(по факту поступления на 01.01.17г)</t>
  </si>
  <si>
    <t>13156,0(по факту поступления на 01.01.17г)</t>
  </si>
  <si>
    <t>46719,0(по факту поступления на 01.01.17г)</t>
  </si>
  <si>
    <t>745,0(по факту поступления на 01.01.17г)</t>
  </si>
  <si>
    <t>Налог, взимаемый в связи с применением патентной системы налогообложения, зачисляемый в бюджеты городских округов</t>
  </si>
  <si>
    <t>5440,0(по факту поступления на 01.01.17г)</t>
  </si>
  <si>
    <t>371,0(по факту поступления на 01.01.17г)</t>
  </si>
  <si>
    <t>Транспортный налог с физических лиц</t>
  </si>
  <si>
    <t>1611,0(по факту поступления на 01.01.17г)</t>
  </si>
  <si>
    <t>62847,0(по факту поступления на 01.01.17г)</t>
  </si>
  <si>
    <t>7310,0(по факту поступления на 01.01.17г)</t>
  </si>
  <si>
    <t>8803,0(по факту поступления на 01.01.17г)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</si>
  <si>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</si>
  <si>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1,3(по факту поступления на 01.07.17г)</t>
  </si>
  <si>
    <t>1757,0(по факту поступления на 01.01.17г)</t>
  </si>
  <si>
    <t>180,0(по факту поступления на 01.01.17г)</t>
  </si>
  <si>
    <t>277,0(по факту поступления на 01.01.17г)</t>
  </si>
  <si>
    <t>123436,0(по факту поступления на 01.01.17г)</t>
  </si>
  <si>
    <t>72,0(по факту поступления на 01.01.17г)</t>
  </si>
  <si>
    <t>516,0 (по факту поступления на 01.01.17г,)</t>
  </si>
  <si>
    <t>Доходы от сдачи в аренду имущества, составляющего казну городских округов (за исключением земельных участков)</t>
  </si>
  <si>
    <t>20751,3 (по факту поступления на 01.01.17г,)</t>
  </si>
  <si>
    <t>151,0 (по факту поступления на 01.01.17г,)</t>
  </si>
  <si>
    <t>2130,0 (по факту поступления на 01.01.17г,)</t>
  </si>
  <si>
    <t>389,0 (по факту поступления на 01.01.17г,)</t>
  </si>
  <si>
    <t>24,0 (по факту поступления на 01.01.17г,)</t>
  </si>
  <si>
    <t>2121,0 (по факту поступления на 01.01.17г,)</t>
  </si>
  <si>
    <t>643,6 (по факту поступления на 01.01.17г,)</t>
  </si>
  <si>
    <t>2090,0 (по факту поступления на 01.01.17г,)</t>
  </si>
  <si>
    <t>4159,3 (по факту поступления на 01.01.17г,)</t>
  </si>
  <si>
    <t>780 (по факту поступления на 01.01.17г,)</t>
  </si>
  <si>
    <t>25500,0 (по факту поступления на 01.01.17г,)</t>
  </si>
  <si>
    <t>15285,0(по факту поступления на 01.01.17г,)</t>
  </si>
  <si>
    <t>226,0(по факту поступления на 01.01.17г,)</t>
  </si>
  <si>
    <t>16,0(по факту поступления на 01.01.17г,)</t>
  </si>
  <si>
    <t>3,0(по факту поступления на 01.01.17г,)</t>
  </si>
  <si>
    <t>304,0(по факту поступления на 01.01.17г,)</t>
  </si>
  <si>
    <t>35,0(по факту поступления на 01.01.17г,)</t>
  </si>
  <si>
    <t>11,0(по факту поступления на 01.01.17г,)</t>
  </si>
  <si>
    <t>17(по факту поступления на 01.01.17г,)</t>
  </si>
  <si>
    <t>1952,0(по факту поступления на 01.01.17г,)</t>
  </si>
  <si>
    <t>51,0(по факту поступления на 01.01.17г,)</t>
  </si>
  <si>
    <t>2274,0(по факту поступления на 01.01.17г,)</t>
  </si>
  <si>
    <t>183,0(по факту поступления на 01.01.17г,)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</si>
  <si>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</si>
  <si>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61,0(по факту поступления на 01.01.17г,)</t>
  </si>
  <si>
    <t>841,0(по факту поступления на 01.01.17г)</t>
  </si>
  <si>
    <t>2910,0(по факту поступления на 01.01.17г,)</t>
  </si>
  <si>
    <t>537,0(по факту поступления на 01.01.17г,)</t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</si>
  <si>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Законов Кемеровской области от 24.10.2016г. № 75-ОЗ, от 23.12.16г. № 95-ОЗ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</si>
  <si>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уменьшаются на 184517,0 тыс.руб.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</si>
  <si>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уменьшаются на 121987,2 тыс.рублей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</si>
  <si>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и 228 Налогового кодекса Российской Федерации</t>
    </r>
  </si>
  <si>
    <r>
      <rPr>
        <b/>
        <sz val="13"/>
        <rFont val="Times New Roman"/>
        <family val="1"/>
        <charset val="204"/>
      </rPr>
      <t>1.3.</t>
    </r>
    <r>
      <rPr>
        <sz val="13"/>
        <rFont val="Times New Roman"/>
        <family val="1"/>
        <charset val="204"/>
      </rPr>
      <t xml:space="preserve"> В связи с не поступлением доходов уменьшаются прочие безвозмездные поступления на сумму 3012,9тыс.рублей </t>
    </r>
  </si>
  <si>
    <t>273420,2(по факту поступления на 01.01.17г)</t>
  </si>
  <si>
    <t>(тыс.руб.)</t>
  </si>
  <si>
    <r>
      <rPr>
        <b/>
        <sz val="13"/>
        <rFont val="Times New Roman"/>
        <family val="1"/>
        <charset val="204"/>
      </rPr>
      <t>1.1.</t>
    </r>
    <r>
      <rPr>
        <sz val="13"/>
        <rFont val="Times New Roman"/>
        <family val="1"/>
        <charset val="204"/>
      </rPr>
      <t xml:space="preserve">  На основании Законов Кемеровской области от 24.10.2016г. № 75-ОЗ, от 23.12.2016 № 95-ОЗ</t>
    </r>
  </si>
  <si>
    <r>
      <t>1.1.3 .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увеличиваются на 11005,1 тыс. руб.  </t>
    </r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</si>
  <si>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187841,0 тыс руб. </t>
    </r>
  </si>
  <si>
    <t xml:space="preserve">ИТОГО доходов собственной базы: -3012,9 тыс.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</si>
</sst>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0"/>
    <numFmt numFmtId="167" formatCode="000000"/>
    <numFmt numFmtId="168" formatCode="0.000000"/>
    <numFmt numFmtId="169" formatCode="0.0000"/>
  </numFmts>
  <fonts count="40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Arial Cyr"/>
      <charset val="204"/>
    </font>
    <font>
      <i/>
      <u/>
      <sz val="13"/>
      <name val="Times New Roman"/>
      <family val="1"/>
      <charset val="204"/>
    </font>
    <font>
      <sz val="11"/>
      <name val="CG Times"/>
      <family val="1"/>
    </font>
    <font>
      <sz val="10"/>
      <color rgb="FF0070C0"/>
      <name val="Arial Cyr"/>
      <charset val="204"/>
    </font>
    <font>
      <i/>
      <sz val="10"/>
      <color rgb="FF0070C0"/>
      <name val="Arial Cyr"/>
      <charset val="204"/>
    </font>
    <font>
      <sz val="12"/>
      <color rgb="FF0070C0"/>
      <name val="Arial Cyr"/>
      <charset val="204"/>
    </font>
    <font>
      <sz val="10"/>
      <color rgb="FFFF0000"/>
      <name val="Arial Cyr"/>
      <charset val="204"/>
    </font>
    <font>
      <b/>
      <sz val="10"/>
      <color rgb="FF0070C0"/>
      <name val="Arial Cyr"/>
      <charset val="204"/>
    </font>
    <font>
      <sz val="11"/>
      <color theme="4" tint="-0.249977111117893"/>
      <name val="Times New Roman"/>
      <family val="1"/>
      <charset val="204"/>
    </font>
    <font>
      <b/>
      <sz val="10"/>
      <name val="Arial Cyr"/>
      <charset val="204"/>
    </font>
    <font>
      <sz val="10"/>
      <color rgb="FF00B050"/>
      <name val="Arial Cyr"/>
      <charset val="204"/>
    </font>
    <font>
      <b/>
      <sz val="10"/>
      <color rgb="FFFF0000"/>
      <name val="Arial Cyr"/>
      <charset val="204"/>
    </font>
    <font>
      <b/>
      <sz val="10"/>
      <color rgb="FF00B050"/>
      <name val="Arial Cyr"/>
      <charset val="204"/>
    </font>
    <font>
      <sz val="12"/>
      <color rgb="FFFF0000"/>
      <name val="Arial Cyr"/>
      <charset val="204"/>
    </font>
    <font>
      <sz val="10"/>
      <color theme="4" tint="-0.249977111117893"/>
      <name val="Arial Cyr"/>
      <charset val="204"/>
    </font>
    <font>
      <sz val="10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0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6" fontId="0" fillId="0" borderId="0" xfId="0" applyNumberFormat="1" applyFont="1" applyFill="1"/>
    <xf numFmtId="0" fontId="0" fillId="0" borderId="7" xfId="0" applyFont="1" applyFill="1" applyBorder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23" fillId="0" borderId="0" xfId="0" applyNumberFormat="1" applyFont="1" applyFill="1" applyAlignment="1">
      <alignment horizontal="left" wrapText="1"/>
    </xf>
    <xf numFmtId="0" fontId="24" fillId="0" borderId="0" xfId="0" applyFont="1" applyFill="1"/>
    <xf numFmtId="164" fontId="11" fillId="0" borderId="1" xfId="0" applyNumberFormat="1" applyFont="1" applyFill="1" applyBorder="1" applyAlignment="1">
      <alignment horizontal="right" wrapText="1"/>
    </xf>
    <xf numFmtId="164" fontId="11" fillId="0" borderId="1" xfId="0" applyNumberFormat="1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0" xfId="0" applyFont="1" applyFill="1" applyAlignment="1">
      <alignment horizontal="left"/>
    </xf>
    <xf numFmtId="0" fontId="29" fillId="0" borderId="0" xfId="0" applyFont="1" applyFill="1" applyAlignment="1">
      <alignment vertical="center"/>
    </xf>
    <xf numFmtId="0" fontId="29" fillId="0" borderId="0" xfId="0" applyFont="1" applyFill="1"/>
    <xf numFmtId="166" fontId="0" fillId="0" borderId="1" xfId="0" applyNumberFormat="1" applyFont="1" applyFill="1" applyBorder="1"/>
    <xf numFmtId="2" fontId="9" fillId="0" borderId="1" xfId="0" applyNumberFormat="1" applyFont="1" applyFill="1" applyBorder="1"/>
    <xf numFmtId="0" fontId="30" fillId="0" borderId="0" xfId="0" applyFont="1" applyFill="1"/>
    <xf numFmtId="0" fontId="28" fillId="0" borderId="0" xfId="0" applyFont="1" applyFill="1"/>
    <xf numFmtId="0" fontId="4" fillId="0" borderId="0" xfId="0" applyNumberFormat="1" applyFont="1" applyFill="1" applyAlignment="1">
      <alignment wrapText="1"/>
    </xf>
    <xf numFmtId="0" fontId="31" fillId="0" borderId="0" xfId="0" applyFont="1" applyFill="1"/>
    <xf numFmtId="0" fontId="11" fillId="0" borderId="1" xfId="0" applyFont="1" applyFill="1" applyBorder="1" applyAlignment="1">
      <alignment horizontal="right" wrapText="1"/>
    </xf>
    <xf numFmtId="0" fontId="33" fillId="0" borderId="0" xfId="0" applyFont="1" applyFill="1"/>
    <xf numFmtId="0" fontId="0" fillId="2" borderId="0" xfId="0" applyFont="1" applyFill="1"/>
    <xf numFmtId="0" fontId="30" fillId="2" borderId="0" xfId="0" applyFont="1" applyFill="1"/>
    <xf numFmtId="0" fontId="34" fillId="2" borderId="0" xfId="0" applyFont="1" applyFill="1"/>
    <xf numFmtId="0" fontId="34" fillId="0" borderId="0" xfId="0" applyFont="1" applyFill="1"/>
    <xf numFmtId="0" fontId="35" fillId="0" borderId="0" xfId="0" applyFont="1" applyFill="1"/>
    <xf numFmtId="0" fontId="36" fillId="2" borderId="0" xfId="0" applyFont="1" applyFill="1"/>
    <xf numFmtId="0" fontId="0" fillId="0" borderId="0" xfId="0" applyFont="1" applyFill="1" applyAlignment="1">
      <alignment horizontal="right"/>
    </xf>
    <xf numFmtId="164" fontId="27" fillId="0" borderId="0" xfId="0" applyNumberFormat="1" applyFont="1" applyFill="1"/>
    <xf numFmtId="168" fontId="0" fillId="0" borderId="0" xfId="0" applyNumberFormat="1" applyFont="1" applyFill="1"/>
    <xf numFmtId="0" fontId="33" fillId="2" borderId="0" xfId="0" applyFont="1" applyFill="1"/>
    <xf numFmtId="169" fontId="0" fillId="0" borderId="0" xfId="0" applyNumberFormat="1" applyFont="1" applyFill="1"/>
    <xf numFmtId="2" fontId="9" fillId="0" borderId="1" xfId="0" applyNumberFormat="1" applyFont="1" applyFill="1" applyBorder="1" applyAlignment="1">
      <alignment horizontal="right" vertical="center"/>
    </xf>
    <xf numFmtId="166" fontId="0" fillId="0" borderId="0" xfId="0" applyNumberFormat="1" applyFont="1" applyFill="1" applyAlignment="1">
      <alignment horizontal="right"/>
    </xf>
    <xf numFmtId="166" fontId="27" fillId="0" borderId="0" xfId="0" applyNumberFormat="1" applyFont="1" applyFill="1"/>
    <xf numFmtId="166" fontId="0" fillId="0" borderId="0" xfId="0" applyNumberFormat="1" applyFont="1" applyFill="1" applyAlignment="1">
      <alignment vertical="center"/>
    </xf>
    <xf numFmtId="166" fontId="27" fillId="0" borderId="0" xfId="0" applyNumberFormat="1" applyFont="1" applyFill="1" applyAlignment="1">
      <alignment horizontal="right"/>
    </xf>
    <xf numFmtId="166" fontId="29" fillId="0" borderId="0" xfId="0" applyNumberFormat="1" applyFont="1" applyFill="1" applyAlignment="1">
      <alignment horizontal="right" vertical="center"/>
    </xf>
    <xf numFmtId="166" fontId="29" fillId="0" borderId="0" xfId="0" applyNumberFormat="1" applyFont="1" applyFill="1" applyAlignment="1">
      <alignment horizontal="right"/>
    </xf>
    <xf numFmtId="166" fontId="37" fillId="0" borderId="0" xfId="0" applyNumberFormat="1" applyFont="1" applyFill="1" applyAlignment="1">
      <alignment horizontal="right"/>
    </xf>
    <xf numFmtId="166" fontId="0" fillId="0" borderId="0" xfId="0" applyNumberFormat="1" applyFill="1"/>
    <xf numFmtId="169" fontId="11" fillId="0" borderId="1" xfId="0" applyNumberFormat="1" applyFont="1" applyFill="1" applyBorder="1" applyAlignment="1">
      <alignment vertical="center"/>
    </xf>
    <xf numFmtId="169" fontId="0" fillId="0" borderId="1" xfId="0" applyNumberFormat="1" applyFont="1" applyFill="1" applyBorder="1" applyAlignment="1">
      <alignment vertical="center"/>
    </xf>
    <xf numFmtId="169" fontId="9" fillId="0" borderId="1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/>
    <xf numFmtId="168" fontId="4" fillId="0" borderId="0" xfId="0" applyNumberFormat="1" applyFont="1" applyFill="1" applyBorder="1" applyAlignment="1">
      <alignment horizontal="right" wrapText="1"/>
    </xf>
    <xf numFmtId="169" fontId="32" fillId="0" borderId="1" xfId="0" applyNumberFormat="1" applyFont="1" applyFill="1" applyBorder="1" applyAlignment="1">
      <alignment vertical="center"/>
    </xf>
    <xf numFmtId="166" fontId="32" fillId="0" borderId="1" xfId="0" applyNumberFormat="1" applyFont="1" applyFill="1" applyBorder="1" applyAlignment="1">
      <alignment vertical="center"/>
    </xf>
    <xf numFmtId="166" fontId="38" fillId="0" borderId="1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16" fontId="6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wrapText="1"/>
    </xf>
    <xf numFmtId="0" fontId="5" fillId="0" borderId="0" xfId="0" applyNumberFormat="1" applyFont="1" applyFill="1" applyAlignment="1">
      <alignment horizontal="left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9" fillId="0" borderId="19" xfId="0" applyFont="1" applyBorder="1" applyAlignment="1">
      <alignment wrapText="1"/>
    </xf>
    <xf numFmtId="0" fontId="10" fillId="0" borderId="20" xfId="0" applyFont="1" applyFill="1" applyBorder="1" applyAlignment="1">
      <alignment wrapText="1"/>
    </xf>
    <xf numFmtId="0" fontId="19" fillId="0" borderId="19" xfId="0" applyFont="1" applyBorder="1" applyAlignment="1">
      <alignment wrapText="1" shrinkToFit="1"/>
    </xf>
    <xf numFmtId="0" fontId="19" fillId="0" borderId="19" xfId="0" applyFont="1" applyFill="1" applyBorder="1" applyAlignment="1">
      <alignment horizontal="justify" wrapText="1"/>
    </xf>
    <xf numFmtId="0" fontId="19" fillId="0" borderId="19" xfId="0" applyFont="1" applyFill="1" applyBorder="1" applyAlignment="1">
      <alignment wrapText="1"/>
    </xf>
    <xf numFmtId="0" fontId="19" fillId="0" borderId="19" xfId="0" applyFont="1" applyBorder="1" applyAlignment="1">
      <alignment horizontal="justify" vertical="top" wrapText="1"/>
    </xf>
    <xf numFmtId="0" fontId="39" fillId="0" borderId="19" xfId="0" applyNumberFormat="1" applyFont="1" applyBorder="1" applyAlignment="1">
      <alignment horizontal="left" vertical="top" wrapText="1"/>
    </xf>
    <xf numFmtId="0" fontId="19" fillId="0" borderId="19" xfId="0" applyFont="1" applyFill="1" applyBorder="1" applyAlignment="1">
      <alignment vertical="top" wrapText="1"/>
    </xf>
    <xf numFmtId="0" fontId="26" fillId="0" borderId="19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9" fillId="2" borderId="19" xfId="0" applyNumberFormat="1" applyFont="1" applyFill="1" applyBorder="1" applyAlignment="1">
      <alignment wrapText="1"/>
    </xf>
    <xf numFmtId="0" fontId="19" fillId="0" borderId="19" xfId="0" applyNumberFormat="1" applyFont="1" applyFill="1" applyBorder="1" applyAlignment="1">
      <alignment horizontal="left" wrapText="1"/>
    </xf>
    <xf numFmtId="0" fontId="19" fillId="0" borderId="19" xfId="0" applyNumberFormat="1" applyFont="1" applyBorder="1" applyAlignment="1">
      <alignment horizontal="left" wrapText="1"/>
    </xf>
    <xf numFmtId="0" fontId="16" fillId="0" borderId="21" xfId="0" applyNumberFormat="1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left" wrapText="1"/>
    </xf>
    <xf numFmtId="164" fontId="1" fillId="0" borderId="22" xfId="0" applyNumberFormat="1" applyFont="1" applyFill="1" applyBorder="1" applyAlignment="1">
      <alignment horizontal="right" wrapText="1"/>
    </xf>
    <xf numFmtId="0" fontId="9" fillId="0" borderId="23" xfId="0" applyFont="1" applyFill="1" applyBorder="1" applyAlignment="1">
      <alignment horizontal="left" wrapText="1"/>
    </xf>
    <xf numFmtId="0" fontId="19" fillId="0" borderId="24" xfId="0" applyFont="1" applyBorder="1" applyAlignment="1">
      <alignment wrapText="1"/>
    </xf>
    <xf numFmtId="164" fontId="11" fillId="0" borderId="9" xfId="0" applyNumberFormat="1" applyFont="1" applyFill="1" applyBorder="1" applyAlignment="1">
      <alignment horizontal="right" wrapText="1"/>
    </xf>
    <xf numFmtId="0" fontId="11" fillId="0" borderId="9" xfId="0" applyFont="1" applyFill="1" applyBorder="1" applyAlignment="1">
      <alignment horizontal="right" wrapText="1"/>
    </xf>
    <xf numFmtId="0" fontId="10" fillId="0" borderId="25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49" fontId="4" fillId="0" borderId="0" xfId="0" applyNumberFormat="1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18" fillId="0" borderId="0" xfId="0" applyNumberFormat="1" applyFont="1" applyFill="1" applyAlignment="1">
      <alignment horizontal="left" wrapText="1"/>
    </xf>
    <xf numFmtId="0" fontId="5" fillId="0" borderId="0" xfId="0" applyNumberFormat="1" applyFont="1" applyFill="1" applyAlignment="1">
      <alignment horizontal="left" wrapText="1"/>
    </xf>
    <xf numFmtId="0" fontId="25" fillId="0" borderId="0" xfId="0" applyNumberFormat="1" applyFont="1" applyFill="1" applyAlignment="1">
      <alignment horizontal="left" wrapText="1"/>
    </xf>
    <xf numFmtId="166" fontId="11" fillId="0" borderId="2" xfId="0" applyNumberFormat="1" applyFont="1" applyFill="1" applyBorder="1" applyAlignment="1">
      <alignment horizontal="right" vertical="center"/>
    </xf>
    <xf numFmtId="166" fontId="11" fillId="0" borderId="8" xfId="0" applyNumberFormat="1" applyFont="1" applyFill="1" applyBorder="1" applyAlignment="1">
      <alignment horizontal="right" vertical="center"/>
    </xf>
    <xf numFmtId="166" fontId="11" fillId="0" borderId="9" xfId="0" applyNumberFormat="1" applyFont="1" applyFill="1" applyBorder="1" applyAlignment="1">
      <alignment horizontal="right" vertical="center"/>
    </xf>
    <xf numFmtId="164" fontId="32" fillId="0" borderId="2" xfId="0" applyNumberFormat="1" applyFont="1" applyFill="1" applyBorder="1" applyAlignment="1">
      <alignment horizontal="center" vertical="center"/>
    </xf>
    <xf numFmtId="164" fontId="32" fillId="0" borderId="8" xfId="0" applyNumberFormat="1" applyFont="1" applyFill="1" applyBorder="1" applyAlignment="1">
      <alignment horizontal="center" vertical="center"/>
    </xf>
    <xf numFmtId="164" fontId="32" fillId="0" borderId="9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167" fontId="9" fillId="0" borderId="0" xfId="0" applyNumberFormat="1" applyFont="1" applyFill="1" applyBorder="1" applyAlignment="1">
      <alignment horizontal="left" wrapText="1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RowHeight="12.75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>
      <c r="A1" s="224" t="s">
        <v>0</v>
      </c>
      <c r="B1" s="224"/>
      <c r="C1" s="224"/>
      <c r="D1" s="224"/>
      <c r="E1" s="224"/>
      <c r="F1" s="224"/>
    </row>
    <row r="2" spans="1:8" ht="66.75" customHeight="1">
      <c r="A2" s="225" t="s">
        <v>109</v>
      </c>
      <c r="B2" s="225"/>
      <c r="C2" s="225"/>
      <c r="D2" s="225"/>
      <c r="E2" s="225"/>
      <c r="F2" s="225"/>
    </row>
    <row r="3" spans="1:8" ht="15.75" customHeight="1">
      <c r="A3" s="217" t="s">
        <v>128</v>
      </c>
      <c r="B3" s="217"/>
      <c r="C3" s="217"/>
      <c r="D3" s="217"/>
      <c r="E3" s="217"/>
      <c r="F3" s="217"/>
      <c r="G3" s="6"/>
      <c r="H3" s="6"/>
    </row>
    <row r="4" spans="1:8" ht="65.25" customHeight="1">
      <c r="A4" s="226" t="s">
        <v>263</v>
      </c>
      <c r="B4" s="226"/>
      <c r="C4" s="226"/>
      <c r="D4" s="226"/>
      <c r="E4" s="226"/>
      <c r="F4" s="226"/>
      <c r="G4" s="6"/>
      <c r="H4" s="6"/>
    </row>
    <row r="5" spans="1:8" ht="18.75" customHeight="1">
      <c r="A5" s="227" t="s">
        <v>274</v>
      </c>
      <c r="B5" s="227"/>
      <c r="C5" s="227"/>
      <c r="D5" s="227"/>
      <c r="E5" s="227"/>
      <c r="F5" s="227"/>
      <c r="G5" s="6"/>
      <c r="H5" s="6"/>
    </row>
    <row r="6" spans="1:8" ht="18.75" customHeight="1">
      <c r="A6" s="227" t="s">
        <v>275</v>
      </c>
      <c r="B6" s="227"/>
      <c r="C6" s="227"/>
      <c r="D6" s="227"/>
      <c r="E6" s="227"/>
      <c r="F6" s="227"/>
      <c r="G6" s="6"/>
      <c r="H6" s="6"/>
    </row>
    <row r="7" spans="1:8" ht="17.25" customHeight="1">
      <c r="A7" s="227" t="s">
        <v>276</v>
      </c>
      <c r="B7" s="227"/>
      <c r="C7" s="227"/>
      <c r="D7" s="227"/>
      <c r="E7" s="227"/>
      <c r="F7" s="227"/>
      <c r="G7" s="6"/>
      <c r="H7" s="6"/>
    </row>
    <row r="8" spans="1:8" ht="15.75" customHeight="1">
      <c r="A8" s="217" t="s">
        <v>277</v>
      </c>
      <c r="B8" s="217"/>
      <c r="C8" s="217"/>
      <c r="D8" s="217"/>
      <c r="E8" s="217"/>
      <c r="F8" s="217"/>
      <c r="G8" s="6"/>
      <c r="H8" s="6"/>
    </row>
    <row r="9" spans="1:8" ht="35.25" customHeight="1">
      <c r="A9" s="228" t="s">
        <v>129</v>
      </c>
      <c r="B9" s="228"/>
      <c r="C9" s="228"/>
      <c r="D9" s="228"/>
      <c r="E9" s="228"/>
      <c r="F9" s="228"/>
      <c r="G9" s="6"/>
      <c r="H9" s="6"/>
    </row>
    <row r="10" spans="1:8" ht="33.75" customHeight="1">
      <c r="A10" s="51" t="s">
        <v>15</v>
      </c>
      <c r="B10" s="52" t="s">
        <v>60</v>
      </c>
      <c r="C10" s="52" t="s">
        <v>246</v>
      </c>
      <c r="D10" s="52" t="s">
        <v>16</v>
      </c>
      <c r="E10" s="52" t="s">
        <v>17</v>
      </c>
      <c r="F10" s="52" t="s">
        <v>18</v>
      </c>
      <c r="G10" s="6"/>
      <c r="H10" s="6"/>
    </row>
    <row r="11" spans="1:8" ht="36" customHeight="1">
      <c r="A11" s="53" t="s">
        <v>103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247</v>
      </c>
      <c r="G11" s="6"/>
      <c r="H11" s="6"/>
    </row>
    <row r="12" spans="1:8" ht="60" customHeight="1">
      <c r="A12" s="54" t="s">
        <v>62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248</v>
      </c>
      <c r="G12" s="6"/>
      <c r="H12" s="6"/>
    </row>
    <row r="13" spans="1:8" ht="46.5" customHeight="1">
      <c r="A13" s="54" t="s">
        <v>61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249</v>
      </c>
      <c r="G13" s="6"/>
      <c r="H13" s="6"/>
    </row>
    <row r="14" spans="1:8" ht="90" customHeight="1">
      <c r="A14" s="63" t="s">
        <v>250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264</v>
      </c>
      <c r="G14" s="6"/>
      <c r="H14" s="6"/>
    </row>
    <row r="15" spans="1:8" ht="48" customHeight="1">
      <c r="A15" s="55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251</v>
      </c>
      <c r="G15" s="6"/>
      <c r="H15" s="6"/>
    </row>
    <row r="16" spans="1:8" ht="44.25" customHeight="1">
      <c r="A16" s="55" t="s">
        <v>105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252</v>
      </c>
      <c r="G16" s="6"/>
      <c r="H16" s="6"/>
    </row>
    <row r="17" spans="1:8" ht="40.5" customHeight="1">
      <c r="A17" s="55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253</v>
      </c>
      <c r="G17" s="6"/>
      <c r="H17" s="6"/>
    </row>
    <row r="18" spans="1:8" ht="75.75" customHeight="1">
      <c r="A18" s="56" t="s">
        <v>107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254</v>
      </c>
      <c r="G18" s="6"/>
      <c r="H18" s="6"/>
    </row>
    <row r="19" spans="1:8" ht="160.5" customHeight="1">
      <c r="A19" s="64" t="s">
        <v>278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255</v>
      </c>
      <c r="G19" s="6"/>
      <c r="H19" s="6"/>
    </row>
    <row r="20" spans="1:8" ht="78.75" customHeight="1">
      <c r="A20" s="65" t="s">
        <v>256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257</v>
      </c>
      <c r="G20" s="6"/>
      <c r="H20" s="6"/>
    </row>
    <row r="21" spans="1:8" ht="90.75" customHeight="1">
      <c r="A21" s="65" t="s">
        <v>63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258</v>
      </c>
      <c r="G21" s="6"/>
      <c r="H21" s="6"/>
    </row>
    <row r="22" spans="1:8" ht="76.5" customHeight="1">
      <c r="A22" s="65" t="s">
        <v>260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261</v>
      </c>
      <c r="G22" s="6"/>
      <c r="H22" s="6"/>
    </row>
    <row r="23" spans="1:8" ht="105.75" customHeight="1">
      <c r="A23" s="66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259</v>
      </c>
      <c r="G23" s="6"/>
      <c r="H23" s="6"/>
    </row>
    <row r="24" spans="1:8" ht="63" customHeight="1" thickBot="1">
      <c r="A24" s="55" t="s">
        <v>34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262</v>
      </c>
      <c r="G24" s="6"/>
      <c r="H24" s="6"/>
    </row>
    <row r="25" spans="1:8" ht="18" customHeight="1" thickBot="1">
      <c r="A25" s="30" t="s">
        <v>6</v>
      </c>
      <c r="B25" s="22"/>
      <c r="C25" s="22"/>
      <c r="D25" s="22"/>
      <c r="E25" s="67">
        <f>SUM(E11:E24)</f>
        <v>1500</v>
      </c>
      <c r="F25" s="23"/>
      <c r="G25" s="6"/>
      <c r="H25" s="6"/>
    </row>
    <row r="26" spans="1:8" ht="15.75" customHeight="1">
      <c r="A26" s="25"/>
      <c r="B26" s="25"/>
      <c r="C26" s="25"/>
      <c r="D26" s="25"/>
      <c r="E26" s="25"/>
      <c r="F26" s="25"/>
      <c r="G26" s="6"/>
      <c r="H26" s="6"/>
    </row>
    <row r="27" spans="1:8" ht="54" customHeight="1">
      <c r="A27" s="229" t="s">
        <v>283</v>
      </c>
      <c r="B27" s="229"/>
      <c r="C27" s="229"/>
      <c r="D27" s="229"/>
      <c r="E27" s="229"/>
      <c r="F27" s="229"/>
      <c r="G27" s="6"/>
      <c r="H27" s="6"/>
    </row>
    <row r="28" spans="1:8" ht="28.5" customHeight="1">
      <c r="A28" s="221" t="s">
        <v>284</v>
      </c>
      <c r="B28" s="221"/>
      <c r="C28" s="221"/>
      <c r="D28" s="221"/>
      <c r="E28" s="221"/>
      <c r="F28" s="221"/>
      <c r="G28" s="6"/>
      <c r="H28" s="6"/>
    </row>
    <row r="29" spans="1:8" ht="19.5" customHeight="1">
      <c r="A29" s="221"/>
      <c r="B29" s="221"/>
      <c r="C29" s="221"/>
      <c r="D29" s="221"/>
      <c r="E29" s="221"/>
      <c r="F29" s="221"/>
      <c r="G29" s="6"/>
      <c r="H29" s="6"/>
    </row>
    <row r="30" spans="1:8" ht="20.25" customHeight="1">
      <c r="A30" s="222" t="s">
        <v>279</v>
      </c>
      <c r="B30" s="222"/>
      <c r="C30" s="222"/>
      <c r="D30" s="222"/>
      <c r="E30" s="222"/>
      <c r="F30" s="222"/>
    </row>
    <row r="31" spans="1:8" ht="52.5" customHeight="1">
      <c r="A31" s="217" t="s">
        <v>280</v>
      </c>
      <c r="B31" s="217"/>
      <c r="C31" s="217"/>
      <c r="D31" s="217"/>
      <c r="E31" s="217"/>
      <c r="F31" s="217"/>
    </row>
    <row r="32" spans="1:8" ht="21.75" customHeight="1">
      <c r="A32" s="223" t="s">
        <v>32</v>
      </c>
      <c r="B32" s="223"/>
      <c r="C32" s="223"/>
      <c r="D32" s="223"/>
      <c r="E32" s="223"/>
      <c r="F32" s="223"/>
    </row>
    <row r="33" spans="1:6" ht="102.75" customHeight="1">
      <c r="A33" s="217" t="s">
        <v>238</v>
      </c>
      <c r="B33" s="217"/>
      <c r="C33" s="217"/>
      <c r="D33" s="217"/>
      <c r="E33" s="217"/>
      <c r="F33" s="217"/>
    </row>
    <row r="34" spans="1:6" ht="17.25" customHeight="1">
      <c r="A34" s="217" t="s">
        <v>39</v>
      </c>
      <c r="B34" s="217"/>
      <c r="C34" s="217"/>
      <c r="D34" s="217"/>
      <c r="E34" s="217"/>
      <c r="F34" s="217"/>
    </row>
    <row r="35" spans="1:6" ht="35.25" customHeight="1">
      <c r="A35" s="217" t="s">
        <v>149</v>
      </c>
      <c r="B35" s="217"/>
      <c r="C35" s="217"/>
      <c r="D35" s="217"/>
      <c r="E35" s="217"/>
      <c r="F35" s="217"/>
    </row>
    <row r="36" spans="1:6" ht="35.25" customHeight="1">
      <c r="A36" s="217" t="s">
        <v>237</v>
      </c>
      <c r="B36" s="217"/>
      <c r="C36" s="217"/>
      <c r="D36" s="217"/>
      <c r="E36" s="217"/>
      <c r="F36" s="217"/>
    </row>
    <row r="37" spans="1:6" ht="21.75" customHeight="1">
      <c r="A37" s="217" t="s">
        <v>91</v>
      </c>
      <c r="B37" s="217"/>
      <c r="C37" s="217"/>
      <c r="D37" s="217"/>
      <c r="E37" s="217"/>
      <c r="F37" s="217"/>
    </row>
    <row r="38" spans="1:6" ht="84" customHeight="1">
      <c r="A38" s="217" t="s">
        <v>236</v>
      </c>
      <c r="B38" s="217"/>
      <c r="C38" s="217"/>
      <c r="D38" s="217"/>
      <c r="E38" s="217"/>
      <c r="F38" s="217"/>
    </row>
    <row r="39" spans="1:6" s="68" customFormat="1" ht="65.25" customHeight="1">
      <c r="A39" s="218" t="s">
        <v>154</v>
      </c>
      <c r="B39" s="218"/>
      <c r="C39" s="218"/>
      <c r="D39" s="218"/>
      <c r="E39" s="218"/>
      <c r="F39" s="218"/>
    </row>
    <row r="40" spans="1:6" ht="19.5" customHeight="1">
      <c r="A40" s="217" t="s">
        <v>38</v>
      </c>
      <c r="B40" s="217"/>
      <c r="C40" s="217"/>
      <c r="D40" s="217"/>
      <c r="E40" s="217"/>
      <c r="F40" s="217"/>
    </row>
    <row r="41" spans="1:6" ht="17.25" customHeight="1">
      <c r="A41" s="217" t="s">
        <v>89</v>
      </c>
      <c r="B41" s="217"/>
      <c r="C41" s="217"/>
      <c r="D41" s="217"/>
      <c r="E41" s="217"/>
      <c r="F41" s="217"/>
    </row>
    <row r="42" spans="1:6" ht="87" customHeight="1">
      <c r="A42" s="217" t="s">
        <v>267</v>
      </c>
      <c r="B42" s="217"/>
      <c r="C42" s="217"/>
      <c r="D42" s="217"/>
      <c r="E42" s="217"/>
      <c r="F42" s="217"/>
    </row>
    <row r="43" spans="1:6" ht="19.5" customHeight="1">
      <c r="A43" s="217" t="s">
        <v>91</v>
      </c>
      <c r="B43" s="217"/>
      <c r="C43" s="217"/>
      <c r="D43" s="217"/>
      <c r="E43" s="217"/>
      <c r="F43" s="217"/>
    </row>
    <row r="44" spans="1:6" ht="68.25" customHeight="1">
      <c r="A44" s="217" t="s">
        <v>169</v>
      </c>
      <c r="B44" s="217"/>
      <c r="C44" s="217"/>
      <c r="D44" s="217"/>
      <c r="E44" s="217"/>
      <c r="F44" s="217"/>
    </row>
    <row r="45" spans="1:6" ht="12.75" customHeight="1">
      <c r="A45" s="12"/>
      <c r="B45" s="12"/>
      <c r="C45" s="12"/>
      <c r="D45" s="12"/>
      <c r="E45" s="12"/>
      <c r="F45" s="10" t="s">
        <v>7</v>
      </c>
    </row>
    <row r="46" spans="1:6" s="19" customFormat="1" ht="24" customHeight="1">
      <c r="A46" s="17" t="s">
        <v>1</v>
      </c>
      <c r="B46" s="209" t="s">
        <v>2</v>
      </c>
      <c r="C46" s="209"/>
      <c r="D46" s="17" t="s">
        <v>3</v>
      </c>
      <c r="E46" s="17" t="s">
        <v>4</v>
      </c>
      <c r="F46" s="17" t="s">
        <v>5</v>
      </c>
    </row>
    <row r="47" spans="1:6" s="26" customFormat="1" ht="15" customHeight="1">
      <c r="A47" s="172" t="s">
        <v>31</v>
      </c>
      <c r="B47" s="219" t="s">
        <v>158</v>
      </c>
      <c r="C47" s="220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>
      <c r="A48" s="195"/>
      <c r="B48" s="219" t="s">
        <v>135</v>
      </c>
      <c r="C48" s="220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>
      <c r="A49" s="172" t="s">
        <v>8</v>
      </c>
      <c r="B49" s="219" t="s">
        <v>159</v>
      </c>
      <c r="C49" s="220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>
      <c r="A50" s="173"/>
      <c r="B50" s="31" t="s">
        <v>88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>
      <c r="A51" s="173"/>
      <c r="B51" s="37" t="s">
        <v>144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>
      <c r="A52" s="172" t="s">
        <v>25</v>
      </c>
      <c r="B52" s="37" t="s">
        <v>148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>
      <c r="A53" s="173"/>
      <c r="B53" s="37" t="s">
        <v>137</v>
      </c>
      <c r="C53" s="38"/>
      <c r="D53" s="39">
        <v>36.064360000000001</v>
      </c>
      <c r="E53" s="49">
        <f>0.15382+2.71139</f>
        <v>2.8652100000000003</v>
      </c>
      <c r="F53" s="35">
        <f t="shared" si="1"/>
        <v>38.929569999999998</v>
      </c>
    </row>
    <row r="54" spans="1:8" s="27" customFormat="1" ht="17.25" customHeight="1">
      <c r="A54" s="173"/>
      <c r="B54" s="37" t="s">
        <v>65</v>
      </c>
      <c r="C54" s="38"/>
      <c r="D54" s="39">
        <v>7295.7725899999996</v>
      </c>
      <c r="E54" s="49">
        <f>30.76347+542.27756</f>
        <v>573.04102999999998</v>
      </c>
      <c r="F54" s="35">
        <f t="shared" si="1"/>
        <v>7868.8136199999999</v>
      </c>
    </row>
    <row r="55" spans="1:8" s="27" customFormat="1" ht="17.25" customHeight="1">
      <c r="A55" s="173"/>
      <c r="B55" s="37" t="s">
        <v>143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>
      <c r="A56" s="173"/>
      <c r="B56" s="37" t="s">
        <v>168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>
      <c r="A57" s="173"/>
      <c r="B57" s="37" t="s">
        <v>145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>
      <c r="A58" s="173"/>
      <c r="B58" s="37" t="s">
        <v>146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>
      <c r="A59" s="173"/>
      <c r="B59" s="37" t="s">
        <v>147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>
      <c r="A60" s="195"/>
      <c r="B60" s="37" t="s">
        <v>155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>
      <c r="A61" s="7" t="s">
        <v>6</v>
      </c>
      <c r="B61" s="182"/>
      <c r="C61" s="182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>
      <c r="A62" s="2"/>
      <c r="B62" s="3"/>
      <c r="C62" s="3"/>
      <c r="D62" s="4"/>
      <c r="E62" s="1"/>
      <c r="F62" s="4"/>
    </row>
    <row r="63" spans="1:8" ht="22.5" customHeight="1">
      <c r="A63" s="216" t="s">
        <v>29</v>
      </c>
      <c r="B63" s="216"/>
      <c r="C63" s="216"/>
      <c r="D63" s="216"/>
      <c r="E63" s="216"/>
      <c r="F63" s="216"/>
    </row>
    <row r="64" spans="1:8" ht="106.5" customHeight="1">
      <c r="A64" s="214" t="s">
        <v>281</v>
      </c>
      <c r="B64" s="214"/>
      <c r="C64" s="214"/>
      <c r="D64" s="214"/>
      <c r="E64" s="214"/>
      <c r="F64" s="214"/>
    </row>
    <row r="65" spans="1:6" ht="65.25" customHeight="1">
      <c r="A65" s="208" t="s">
        <v>239</v>
      </c>
      <c r="B65" s="214"/>
      <c r="C65" s="214"/>
      <c r="D65" s="214"/>
      <c r="E65" s="214"/>
      <c r="F65" s="214"/>
    </row>
    <row r="66" spans="1:6" ht="36.75" customHeight="1">
      <c r="A66" s="208" t="s">
        <v>162</v>
      </c>
      <c r="B66" s="214"/>
      <c r="C66" s="214"/>
      <c r="D66" s="214"/>
      <c r="E66" s="214"/>
      <c r="F66" s="214"/>
    </row>
    <row r="67" spans="1:6" ht="68.25" customHeight="1">
      <c r="A67" s="208" t="s">
        <v>212</v>
      </c>
      <c r="B67" s="208"/>
      <c r="C67" s="208"/>
      <c r="D67" s="208"/>
      <c r="E67" s="208"/>
      <c r="F67" s="208"/>
    </row>
    <row r="68" spans="1:6" ht="87.75" customHeight="1">
      <c r="A68" s="208" t="s">
        <v>268</v>
      </c>
      <c r="B68" s="208"/>
      <c r="C68" s="208"/>
      <c r="D68" s="208"/>
      <c r="E68" s="208"/>
      <c r="F68" s="208"/>
    </row>
    <row r="69" spans="1:6" ht="20.25" customHeight="1">
      <c r="A69" s="213" t="s">
        <v>33</v>
      </c>
      <c r="B69" s="213"/>
      <c r="C69" s="213"/>
      <c r="D69" s="213"/>
      <c r="E69" s="213"/>
      <c r="F69" s="213"/>
    </row>
    <row r="70" spans="1:6" ht="114" customHeight="1">
      <c r="A70" s="215" t="s">
        <v>242</v>
      </c>
      <c r="B70" s="215"/>
      <c r="C70" s="215"/>
      <c r="D70" s="215"/>
      <c r="E70" s="215"/>
      <c r="F70" s="215"/>
    </row>
    <row r="71" spans="1:6" ht="71.25" customHeight="1">
      <c r="A71" s="215" t="s">
        <v>231</v>
      </c>
      <c r="B71" s="215"/>
      <c r="C71" s="215"/>
      <c r="D71" s="215"/>
      <c r="E71" s="215"/>
      <c r="F71" s="215"/>
    </row>
    <row r="72" spans="1:6" ht="83.25" customHeight="1">
      <c r="A72" s="215" t="s">
        <v>269</v>
      </c>
      <c r="B72" s="215"/>
      <c r="C72" s="215"/>
      <c r="D72" s="215"/>
      <c r="E72" s="215"/>
      <c r="F72" s="215"/>
    </row>
    <row r="73" spans="1:6" ht="38.25" customHeight="1">
      <c r="A73" s="215" t="s">
        <v>232</v>
      </c>
      <c r="B73" s="215"/>
      <c r="C73" s="215"/>
      <c r="D73" s="215"/>
      <c r="E73" s="215"/>
      <c r="F73" s="215"/>
    </row>
    <row r="74" spans="1:6" ht="82.5" customHeight="1">
      <c r="A74" s="215" t="s">
        <v>243</v>
      </c>
      <c r="B74" s="215"/>
      <c r="C74" s="215"/>
      <c r="D74" s="215"/>
      <c r="E74" s="215"/>
      <c r="F74" s="215"/>
    </row>
    <row r="75" spans="1:6" ht="18.75" customHeight="1">
      <c r="A75" s="213" t="s">
        <v>36</v>
      </c>
      <c r="B75" s="213"/>
      <c r="C75" s="213"/>
      <c r="D75" s="213"/>
      <c r="E75" s="213"/>
      <c r="F75" s="213"/>
    </row>
    <row r="76" spans="1:6" ht="20.25" customHeight="1">
      <c r="A76" s="215" t="s">
        <v>110</v>
      </c>
      <c r="B76" s="215"/>
      <c r="C76" s="215"/>
      <c r="D76" s="215"/>
      <c r="E76" s="215"/>
      <c r="F76" s="215"/>
    </row>
    <row r="77" spans="1:6" ht="87" customHeight="1">
      <c r="A77" s="215" t="s">
        <v>227</v>
      </c>
      <c r="B77" s="215"/>
      <c r="C77" s="215"/>
      <c r="D77" s="215"/>
      <c r="E77" s="215"/>
      <c r="F77" s="215"/>
    </row>
    <row r="78" spans="1:6" ht="48" customHeight="1">
      <c r="A78" s="215" t="s">
        <v>244</v>
      </c>
      <c r="B78" s="215"/>
      <c r="C78" s="215"/>
      <c r="D78" s="215"/>
      <c r="E78" s="215"/>
      <c r="F78" s="215"/>
    </row>
    <row r="79" spans="1:6" ht="48.75" customHeight="1">
      <c r="A79" s="215" t="s">
        <v>167</v>
      </c>
      <c r="B79" s="215"/>
      <c r="C79" s="215"/>
      <c r="D79" s="215"/>
      <c r="E79" s="215"/>
      <c r="F79" s="215"/>
    </row>
    <row r="80" spans="1:6" ht="48.75" customHeight="1">
      <c r="A80" s="215" t="s">
        <v>225</v>
      </c>
      <c r="B80" s="215"/>
      <c r="C80" s="215"/>
      <c r="D80" s="215"/>
      <c r="E80" s="215"/>
      <c r="F80" s="215"/>
    </row>
    <row r="81" spans="1:6" ht="48.75" customHeight="1">
      <c r="A81" s="215" t="s">
        <v>245</v>
      </c>
      <c r="B81" s="215"/>
      <c r="C81" s="215"/>
      <c r="D81" s="215"/>
      <c r="E81" s="215"/>
      <c r="F81" s="215"/>
    </row>
    <row r="82" spans="1:6" ht="21" customHeight="1">
      <c r="A82" s="212" t="s">
        <v>240</v>
      </c>
      <c r="B82" s="212"/>
      <c r="C82" s="212"/>
      <c r="D82" s="212"/>
      <c r="E82" s="212"/>
      <c r="F82" s="212"/>
    </row>
    <row r="83" spans="1:6" ht="20.25" customHeight="1">
      <c r="A83" s="215" t="s">
        <v>110</v>
      </c>
      <c r="B83" s="215"/>
      <c r="C83" s="215"/>
      <c r="D83" s="215"/>
      <c r="E83" s="215"/>
      <c r="F83" s="215"/>
    </row>
    <row r="84" spans="1:6" ht="68.25" customHeight="1">
      <c r="A84" s="208" t="s">
        <v>241</v>
      </c>
      <c r="B84" s="208"/>
      <c r="C84" s="208"/>
      <c r="D84" s="208"/>
      <c r="E84" s="208"/>
      <c r="F84" s="208"/>
    </row>
    <row r="85" spans="1:6" ht="24.75" hidden="1" customHeight="1">
      <c r="A85" s="213" t="s">
        <v>123</v>
      </c>
      <c r="B85" s="213"/>
      <c r="C85" s="213"/>
      <c r="D85" s="213"/>
      <c r="E85" s="213"/>
      <c r="F85" s="213"/>
    </row>
    <row r="86" spans="1:6" ht="18" customHeight="1">
      <c r="A86" s="214" t="s">
        <v>32</v>
      </c>
      <c r="B86" s="214"/>
      <c r="C86" s="214"/>
      <c r="D86" s="214"/>
      <c r="E86" s="214"/>
      <c r="F86" s="214"/>
    </row>
    <row r="87" spans="1:6" ht="32.25" customHeight="1">
      <c r="A87" s="211" t="s">
        <v>170</v>
      </c>
      <c r="B87" s="211"/>
      <c r="C87" s="211"/>
      <c r="D87" s="211"/>
      <c r="E87" s="211"/>
      <c r="F87" s="211"/>
    </row>
    <row r="88" spans="1:6" ht="18" customHeight="1">
      <c r="A88" s="48" t="s">
        <v>124</v>
      </c>
      <c r="B88" s="47"/>
      <c r="C88" s="47"/>
      <c r="D88" s="47"/>
      <c r="E88" s="47"/>
      <c r="F88" s="47"/>
    </row>
    <row r="89" spans="1:6" ht="36" customHeight="1">
      <c r="A89" s="208" t="s">
        <v>171</v>
      </c>
      <c r="B89" s="208"/>
      <c r="C89" s="208"/>
      <c r="D89" s="208"/>
      <c r="E89" s="208"/>
      <c r="F89" s="208"/>
    </row>
    <row r="90" spans="1:6" ht="21" customHeight="1">
      <c r="A90" s="208" t="s">
        <v>265</v>
      </c>
      <c r="B90" s="208"/>
      <c r="C90" s="208"/>
      <c r="D90" s="208"/>
      <c r="E90" s="208"/>
      <c r="F90" s="208"/>
    </row>
    <row r="91" spans="1:6" ht="21" customHeight="1">
      <c r="A91" s="208" t="s">
        <v>172</v>
      </c>
      <c r="B91" s="208"/>
      <c r="C91" s="208"/>
      <c r="D91" s="208"/>
      <c r="E91" s="208"/>
      <c r="F91" s="208"/>
    </row>
    <row r="92" spans="1:6" ht="21" customHeight="1">
      <c r="A92" s="208" t="s">
        <v>191</v>
      </c>
      <c r="B92" s="208"/>
      <c r="C92" s="208"/>
      <c r="D92" s="208"/>
      <c r="E92" s="208"/>
      <c r="F92" s="208"/>
    </row>
    <row r="93" spans="1:6" ht="21" customHeight="1">
      <c r="A93" s="208" t="s">
        <v>173</v>
      </c>
      <c r="B93" s="208"/>
      <c r="C93" s="208"/>
      <c r="D93" s="208"/>
      <c r="E93" s="208"/>
      <c r="F93" s="208"/>
    </row>
    <row r="94" spans="1:6" ht="39" customHeight="1">
      <c r="A94" s="208" t="s">
        <v>174</v>
      </c>
      <c r="B94" s="208"/>
      <c r="C94" s="208"/>
      <c r="D94" s="208"/>
      <c r="E94" s="208"/>
      <c r="F94" s="208"/>
    </row>
    <row r="95" spans="1:6" ht="72.75" customHeight="1">
      <c r="A95" s="208" t="s">
        <v>270</v>
      </c>
      <c r="B95" s="208"/>
      <c r="C95" s="208"/>
      <c r="D95" s="208"/>
      <c r="E95" s="208"/>
      <c r="F95" s="208"/>
    </row>
    <row r="96" spans="1:6" ht="18" customHeight="1">
      <c r="A96" s="48" t="s">
        <v>150</v>
      </c>
      <c r="B96" s="47"/>
      <c r="C96" s="47"/>
      <c r="D96" s="47"/>
      <c r="E96" s="47"/>
      <c r="F96" s="47"/>
    </row>
    <row r="97" spans="1:6" ht="21" customHeight="1">
      <c r="A97" s="208" t="s">
        <v>175</v>
      </c>
      <c r="B97" s="208"/>
      <c r="C97" s="208"/>
      <c r="D97" s="208"/>
      <c r="E97" s="208"/>
      <c r="F97" s="208"/>
    </row>
    <row r="98" spans="1:6" ht="21" customHeight="1">
      <c r="A98" s="208" t="s">
        <v>176</v>
      </c>
      <c r="B98" s="208"/>
      <c r="C98" s="208"/>
      <c r="D98" s="208"/>
      <c r="E98" s="208"/>
      <c r="F98" s="208"/>
    </row>
    <row r="99" spans="1:6" ht="18" customHeight="1">
      <c r="A99" s="48" t="s">
        <v>35</v>
      </c>
      <c r="B99" s="47"/>
      <c r="C99" s="47"/>
      <c r="D99" s="47"/>
      <c r="E99" s="47"/>
      <c r="F99" s="47"/>
    </row>
    <row r="100" spans="1:6" ht="21" customHeight="1">
      <c r="A100" s="208" t="s">
        <v>177</v>
      </c>
      <c r="B100" s="208"/>
      <c r="C100" s="208"/>
      <c r="D100" s="208"/>
      <c r="E100" s="208"/>
      <c r="F100" s="208"/>
    </row>
    <row r="101" spans="1:6" ht="18" customHeight="1">
      <c r="A101" s="48" t="s">
        <v>14</v>
      </c>
      <c r="B101" s="47"/>
      <c r="C101" s="47"/>
      <c r="D101" s="47"/>
      <c r="E101" s="47"/>
      <c r="F101" s="47"/>
    </row>
    <row r="102" spans="1:6" ht="21" customHeight="1">
      <c r="A102" s="208" t="s">
        <v>178</v>
      </c>
      <c r="B102" s="208"/>
      <c r="C102" s="208"/>
      <c r="D102" s="208"/>
      <c r="E102" s="208"/>
      <c r="F102" s="208"/>
    </row>
    <row r="103" spans="1:6" ht="21" customHeight="1">
      <c r="A103" s="208" t="s">
        <v>266</v>
      </c>
      <c r="B103" s="208"/>
      <c r="C103" s="208"/>
      <c r="D103" s="208"/>
      <c r="E103" s="208"/>
      <c r="F103" s="208"/>
    </row>
    <row r="104" spans="1:6" ht="18" customHeight="1">
      <c r="A104" s="48" t="s">
        <v>8</v>
      </c>
      <c r="B104" s="47"/>
      <c r="C104" s="47"/>
      <c r="D104" s="47"/>
      <c r="E104" s="47"/>
      <c r="F104" s="47"/>
    </row>
    <row r="105" spans="1:6" ht="21" customHeight="1">
      <c r="A105" s="208" t="s">
        <v>184</v>
      </c>
      <c r="B105" s="208"/>
      <c r="C105" s="208"/>
      <c r="D105" s="208"/>
      <c r="E105" s="208"/>
      <c r="F105" s="208"/>
    </row>
    <row r="106" spans="1:6" ht="18" customHeight="1">
      <c r="A106" s="48" t="s">
        <v>26</v>
      </c>
      <c r="B106" s="47"/>
      <c r="C106" s="47"/>
      <c r="D106" s="47"/>
      <c r="E106" s="47"/>
      <c r="F106" s="47"/>
    </row>
    <row r="107" spans="1:6" ht="21" customHeight="1">
      <c r="A107" s="208" t="s">
        <v>179</v>
      </c>
      <c r="B107" s="208"/>
      <c r="C107" s="208"/>
      <c r="D107" s="208"/>
      <c r="E107" s="208"/>
      <c r="F107" s="208"/>
    </row>
    <row r="108" spans="1:6" ht="32.25" customHeight="1">
      <c r="A108" s="208" t="s">
        <v>182</v>
      </c>
      <c r="B108" s="208"/>
      <c r="C108" s="208"/>
      <c r="D108" s="208"/>
      <c r="E108" s="208"/>
      <c r="F108" s="208"/>
    </row>
    <row r="109" spans="1:6" ht="21" customHeight="1">
      <c r="A109" s="208" t="s">
        <v>180</v>
      </c>
      <c r="B109" s="208"/>
      <c r="C109" s="208"/>
      <c r="D109" s="208"/>
      <c r="E109" s="208"/>
      <c r="F109" s="208"/>
    </row>
    <row r="110" spans="1:6" ht="21" customHeight="1">
      <c r="A110" s="208" t="s">
        <v>181</v>
      </c>
      <c r="B110" s="208"/>
      <c r="C110" s="208"/>
      <c r="D110" s="208"/>
      <c r="E110" s="208"/>
      <c r="F110" s="208"/>
    </row>
    <row r="111" spans="1:6" ht="18" customHeight="1">
      <c r="A111" s="211" t="s">
        <v>125</v>
      </c>
      <c r="B111" s="211"/>
      <c r="C111" s="211"/>
      <c r="D111" s="211"/>
      <c r="E111" s="211"/>
      <c r="F111" s="211"/>
    </row>
    <row r="112" spans="1:6" ht="51" customHeight="1">
      <c r="A112" s="210" t="s">
        <v>215</v>
      </c>
      <c r="B112" s="210"/>
      <c r="C112" s="210"/>
      <c r="D112" s="210"/>
      <c r="E112" s="210"/>
      <c r="F112" s="210"/>
    </row>
    <row r="113" spans="1:14" ht="18" customHeight="1">
      <c r="A113" s="211" t="s">
        <v>115</v>
      </c>
      <c r="B113" s="211"/>
      <c r="C113" s="211"/>
      <c r="D113" s="211"/>
      <c r="E113" s="211"/>
      <c r="F113" s="211"/>
    </row>
    <row r="114" spans="1:14" s="69" customFormat="1" ht="18" customHeight="1">
      <c r="A114" s="210" t="s">
        <v>124</v>
      </c>
      <c r="B114" s="210"/>
      <c r="C114" s="210"/>
      <c r="D114" s="210"/>
      <c r="E114" s="210"/>
      <c r="F114" s="210"/>
    </row>
    <row r="115" spans="1:14" ht="34.5" customHeight="1">
      <c r="A115" s="210" t="s">
        <v>216</v>
      </c>
      <c r="B115" s="210"/>
      <c r="C115" s="210"/>
      <c r="D115" s="210"/>
      <c r="E115" s="210"/>
      <c r="F115" s="210"/>
    </row>
    <row r="116" spans="1:14" ht="18" customHeight="1">
      <c r="A116" s="211" t="s">
        <v>235</v>
      </c>
      <c r="B116" s="211"/>
      <c r="C116" s="211"/>
      <c r="D116" s="211"/>
      <c r="E116" s="211"/>
      <c r="F116" s="211"/>
    </row>
    <row r="117" spans="1:14" s="69" customFormat="1" ht="18" customHeight="1">
      <c r="A117" s="210" t="s">
        <v>271</v>
      </c>
      <c r="B117" s="210"/>
      <c r="C117" s="210"/>
      <c r="D117" s="210"/>
      <c r="E117" s="210"/>
      <c r="F117" s="210"/>
    </row>
    <row r="118" spans="1:14" ht="17.25" customHeight="1">
      <c r="A118" s="210" t="s">
        <v>272</v>
      </c>
      <c r="B118" s="210"/>
      <c r="C118" s="210"/>
      <c r="D118" s="210"/>
      <c r="E118" s="210"/>
      <c r="F118" s="210"/>
    </row>
    <row r="119" spans="1:14" s="11" customFormat="1" ht="14.25" customHeight="1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50" customFormat="1" ht="28.5" customHeight="1">
      <c r="A120" s="17" t="s">
        <v>1</v>
      </c>
      <c r="B120" s="209" t="s">
        <v>2</v>
      </c>
      <c r="C120" s="209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>
      <c r="A121" s="172" t="s">
        <v>31</v>
      </c>
      <c r="B121" s="37" t="s">
        <v>64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>
      <c r="A122" s="173"/>
      <c r="B122" s="37" t="s">
        <v>58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>
      <c r="A123" s="173"/>
      <c r="B123" s="37" t="s">
        <v>59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>
      <c r="A124" s="173"/>
      <c r="B124" s="37" t="s">
        <v>77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>
      <c r="A125" s="173"/>
      <c r="B125" s="37" t="s">
        <v>119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>
      <c r="A126" s="173"/>
      <c r="B126" s="37" t="s">
        <v>210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>
      <c r="A127" s="173"/>
      <c r="B127" s="37" t="s">
        <v>71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>
      <c r="A128" s="173"/>
      <c r="B128" s="37" t="s">
        <v>120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>
      <c r="A129" s="173"/>
      <c r="B129" s="37" t="s">
        <v>192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>
      <c r="A130" s="173"/>
      <c r="B130" s="37" t="s">
        <v>80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>
      <c r="A131" s="173"/>
      <c r="B131" s="37" t="s">
        <v>131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>
      <c r="A132" s="173"/>
      <c r="B132" s="37" t="s">
        <v>228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>
      <c r="A133" s="173"/>
      <c r="B133" s="37" t="s">
        <v>229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>
      <c r="A134" s="173"/>
      <c r="B134" s="37" t="s">
        <v>230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>
      <c r="A135" s="173"/>
      <c r="B135" s="37" t="s">
        <v>190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>
      <c r="A136" s="173"/>
      <c r="B136" s="37" t="s">
        <v>139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>
      <c r="A137" s="173"/>
      <c r="B137" s="37" t="s">
        <v>214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>
      <c r="A138" s="173"/>
      <c r="B138" s="37" t="s">
        <v>86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>
      <c r="A139" s="173"/>
      <c r="B139" s="37" t="s">
        <v>70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>
      <c r="A140" s="173"/>
      <c r="B140" s="37" t="s">
        <v>213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>
      <c r="A141" s="173"/>
      <c r="B141" s="37" t="s">
        <v>73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>
      <c r="A142" s="173"/>
      <c r="B142" s="37" t="s">
        <v>78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>
      <c r="A143" s="173"/>
      <c r="B143" s="37" t="s">
        <v>79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>
      <c r="A144" s="205" t="s">
        <v>150</v>
      </c>
      <c r="B144" s="70" t="s">
        <v>151</v>
      </c>
      <c r="C144" s="71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>
      <c r="A145" s="205"/>
      <c r="B145" s="70" t="s">
        <v>152</v>
      </c>
      <c r="C145" s="71"/>
      <c r="D145" s="36">
        <v>10</v>
      </c>
      <c r="E145" s="39">
        <v>-1</v>
      </c>
      <c r="F145" s="35">
        <f t="shared" si="2"/>
        <v>9</v>
      </c>
      <c r="M145" s="11"/>
    </row>
    <row r="146" spans="1:13" ht="15.75">
      <c r="A146" s="205"/>
      <c r="B146" s="70" t="s">
        <v>153</v>
      </c>
      <c r="C146" s="71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>
      <c r="A147" s="205"/>
      <c r="B147" s="70" t="s">
        <v>188</v>
      </c>
      <c r="C147" s="71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>
      <c r="A148" s="205"/>
      <c r="B148" s="70" t="s">
        <v>189</v>
      </c>
      <c r="C148" s="71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>
      <c r="A149" s="205" t="s">
        <v>35</v>
      </c>
      <c r="B149" s="70" t="s">
        <v>163</v>
      </c>
      <c r="C149" s="71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>
      <c r="A150" s="205"/>
      <c r="B150" s="206" t="s">
        <v>164</v>
      </c>
      <c r="C150" s="207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>
      <c r="A151" s="205"/>
      <c r="B151" s="174" t="s">
        <v>166</v>
      </c>
      <c r="C151" s="175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>
      <c r="A152" s="205"/>
      <c r="B152" s="174" t="s">
        <v>193</v>
      </c>
      <c r="C152" s="175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>
      <c r="A153" s="205"/>
      <c r="B153" s="174" t="s">
        <v>233</v>
      </c>
      <c r="C153" s="175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>
      <c r="A154" s="205"/>
      <c r="B154" s="174" t="s">
        <v>165</v>
      </c>
      <c r="C154" s="175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>
      <c r="A155" s="172" t="s">
        <v>8</v>
      </c>
      <c r="B155" s="37" t="s">
        <v>221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>
      <c r="A156" s="173"/>
      <c r="B156" s="37" t="s">
        <v>160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>
      <c r="A157" s="173"/>
      <c r="B157" s="37" t="s">
        <v>222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>
      <c r="A158" s="173"/>
      <c r="B158" s="37" t="s">
        <v>161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>
      <c r="A159" s="173"/>
      <c r="B159" s="37" t="s">
        <v>57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>
      <c r="A160" s="173"/>
      <c r="B160" s="37" t="s">
        <v>226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>
      <c r="A161" s="173"/>
      <c r="B161" s="37" t="s">
        <v>219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>
      <c r="A162" s="173"/>
      <c r="B162" s="37" t="s">
        <v>47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>
      <c r="A163" s="173"/>
      <c r="B163" s="37" t="s">
        <v>224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>
      <c r="A164" s="173"/>
      <c r="B164" s="37" t="s">
        <v>220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>
      <c r="A165" s="173"/>
      <c r="B165" s="37" t="s">
        <v>66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>
      <c r="A166" s="173"/>
      <c r="B166" s="174" t="s">
        <v>183</v>
      </c>
      <c r="C166" s="175"/>
      <c r="D166" s="36">
        <v>2640.2</v>
      </c>
      <c r="E166" s="39">
        <v>670.6</v>
      </c>
      <c r="F166" s="40">
        <f t="shared" si="4"/>
        <v>3310.7999999999997</v>
      </c>
    </row>
    <row r="167" spans="1:13" ht="15.75">
      <c r="A167" s="173"/>
      <c r="B167" s="174" t="s">
        <v>218</v>
      </c>
      <c r="C167" s="175"/>
      <c r="D167" s="36">
        <v>4080.5</v>
      </c>
      <c r="E167" s="39">
        <v>1</v>
      </c>
      <c r="F167" s="40">
        <f t="shared" si="4"/>
        <v>4081.5</v>
      </c>
    </row>
    <row r="168" spans="1:13" ht="15.75">
      <c r="A168" s="173"/>
      <c r="B168" s="174" t="s">
        <v>217</v>
      </c>
      <c r="C168" s="175"/>
      <c r="D168" s="36">
        <v>397</v>
      </c>
      <c r="E168" s="39">
        <v>-1</v>
      </c>
      <c r="F168" s="40">
        <f t="shared" si="4"/>
        <v>396</v>
      </c>
    </row>
    <row r="169" spans="1:13" ht="15.75">
      <c r="A169" s="195"/>
      <c r="B169" s="174" t="s">
        <v>223</v>
      </c>
      <c r="C169" s="175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>
      <c r="A170" s="205" t="s">
        <v>14</v>
      </c>
      <c r="B170" s="174" t="s">
        <v>68</v>
      </c>
      <c r="C170" s="175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>
      <c r="A171" s="205"/>
      <c r="B171" s="174" t="s">
        <v>51</v>
      </c>
      <c r="C171" s="175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>
      <c r="A172" s="205"/>
      <c r="B172" s="174" t="s">
        <v>56</v>
      </c>
      <c r="C172" s="175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>
      <c r="A173" s="205"/>
      <c r="B173" s="37" t="s">
        <v>67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>
      <c r="A174" s="205"/>
      <c r="B174" s="174" t="s">
        <v>96</v>
      </c>
      <c r="C174" s="175"/>
      <c r="D174" s="36">
        <v>731.69999999999993</v>
      </c>
      <c r="E174" s="39">
        <v>213.6</v>
      </c>
      <c r="F174" s="35">
        <f t="shared" si="2"/>
        <v>945.3</v>
      </c>
    </row>
    <row r="175" spans="1:13" ht="15.75">
      <c r="A175" s="205"/>
      <c r="B175" s="174" t="s">
        <v>52</v>
      </c>
      <c r="C175" s="175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>
      <c r="A176" s="72"/>
      <c r="B176" s="174" t="s">
        <v>99</v>
      </c>
      <c r="C176" s="175"/>
      <c r="D176" s="36">
        <v>0</v>
      </c>
      <c r="E176" s="39"/>
      <c r="F176" s="35">
        <f t="shared" si="2"/>
        <v>0</v>
      </c>
    </row>
    <row r="177" spans="1:6" ht="15.75">
      <c r="A177" s="172" t="s">
        <v>25</v>
      </c>
      <c r="B177" s="174" t="s">
        <v>157</v>
      </c>
      <c r="C177" s="175"/>
      <c r="D177" s="39">
        <v>16</v>
      </c>
      <c r="E177" s="39">
        <v>1.22</v>
      </c>
      <c r="F177" s="35">
        <f t="shared" si="2"/>
        <v>17.22</v>
      </c>
    </row>
    <row r="178" spans="1:6" ht="15.75">
      <c r="A178" s="173"/>
      <c r="B178" s="174" t="s">
        <v>156</v>
      </c>
      <c r="C178" s="175"/>
      <c r="D178" s="39">
        <v>15</v>
      </c>
      <c r="E178" s="39">
        <v>-1.22</v>
      </c>
      <c r="F178" s="35">
        <f t="shared" si="2"/>
        <v>13.78</v>
      </c>
    </row>
    <row r="179" spans="1:6" ht="15.75">
      <c r="A179" s="173"/>
      <c r="B179" s="174" t="s">
        <v>142</v>
      </c>
      <c r="C179" s="175"/>
      <c r="D179" s="39">
        <v>5945.1</v>
      </c>
      <c r="E179" s="39">
        <v>-34.1</v>
      </c>
      <c r="F179" s="35">
        <f t="shared" si="2"/>
        <v>5911</v>
      </c>
    </row>
    <row r="180" spans="1:6" ht="15.75">
      <c r="A180" s="173"/>
      <c r="B180" s="174" t="s">
        <v>141</v>
      </c>
      <c r="C180" s="175"/>
      <c r="D180" s="39">
        <v>222</v>
      </c>
      <c r="E180" s="39">
        <v>34.1</v>
      </c>
      <c r="F180" s="35">
        <f t="shared" si="2"/>
        <v>256.10000000000002</v>
      </c>
    </row>
    <row r="181" spans="1:6" ht="15.75">
      <c r="A181" s="173"/>
      <c r="B181" s="37" t="s">
        <v>75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>
      <c r="A182" s="195"/>
      <c r="B182" s="37" t="s">
        <v>76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>
      <c r="A183" s="45" t="s">
        <v>37</v>
      </c>
      <c r="B183" s="174" t="s">
        <v>90</v>
      </c>
      <c r="C183" s="175"/>
      <c r="D183" s="36">
        <v>1316.8</v>
      </c>
      <c r="E183" s="39">
        <v>797.6</v>
      </c>
      <c r="F183" s="35">
        <f>SUM(D183:E183)</f>
        <v>2114.4</v>
      </c>
    </row>
    <row r="184" spans="1:6" ht="15.75">
      <c r="A184" s="172" t="s">
        <v>26</v>
      </c>
      <c r="B184" s="174" t="s">
        <v>132</v>
      </c>
      <c r="C184" s="175"/>
      <c r="D184" s="36">
        <v>790.2</v>
      </c>
      <c r="E184" s="39">
        <v>195.8</v>
      </c>
      <c r="F184" s="40">
        <f t="shared" si="2"/>
        <v>986</v>
      </c>
    </row>
    <row r="185" spans="1:6" ht="15.75">
      <c r="A185" s="173"/>
      <c r="B185" s="174" t="s">
        <v>83</v>
      </c>
      <c r="C185" s="175"/>
      <c r="D185" s="36">
        <v>87823.2</v>
      </c>
      <c r="E185" s="39">
        <v>-3000</v>
      </c>
      <c r="F185" s="40">
        <f t="shared" si="2"/>
        <v>84823.2</v>
      </c>
    </row>
    <row r="186" spans="1:6" ht="15.75">
      <c r="A186" s="173"/>
      <c r="B186" s="174" t="s">
        <v>138</v>
      </c>
      <c r="C186" s="175"/>
      <c r="D186" s="36">
        <v>5736</v>
      </c>
      <c r="E186" s="39">
        <v>3000</v>
      </c>
      <c r="F186" s="40">
        <f t="shared" si="2"/>
        <v>8736</v>
      </c>
    </row>
    <row r="187" spans="1:6" ht="15.75">
      <c r="A187" s="173"/>
      <c r="B187" s="37" t="s">
        <v>100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>
      <c r="A188" s="173"/>
      <c r="B188" s="37" t="s">
        <v>69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>
      <c r="A189" s="173"/>
      <c r="B189" s="37" t="s">
        <v>133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>
      <c r="A190" s="173"/>
      <c r="B190" s="37" t="s">
        <v>140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>
      <c r="A191" s="173"/>
      <c r="B191" s="174" t="s">
        <v>186</v>
      </c>
      <c r="C191" s="175"/>
      <c r="D191" s="36">
        <v>3115.8</v>
      </c>
      <c r="E191" s="39">
        <v>930.4</v>
      </c>
      <c r="F191" s="40">
        <f t="shared" si="2"/>
        <v>4046.2000000000003</v>
      </c>
    </row>
    <row r="192" spans="1:6" ht="15.75">
      <c r="A192" s="173"/>
      <c r="B192" s="174" t="s">
        <v>140</v>
      </c>
      <c r="C192" s="175"/>
      <c r="D192" s="36">
        <v>150.4</v>
      </c>
      <c r="E192" s="39">
        <v>83.4</v>
      </c>
      <c r="F192" s="40">
        <f t="shared" si="2"/>
        <v>233.8</v>
      </c>
    </row>
    <row r="193" spans="1:13" ht="15.75">
      <c r="A193" s="173"/>
      <c r="B193" s="174" t="s">
        <v>185</v>
      </c>
      <c r="C193" s="175"/>
      <c r="D193" s="36">
        <v>4663.7</v>
      </c>
      <c r="E193" s="39">
        <v>1393.2</v>
      </c>
      <c r="F193" s="40">
        <f t="shared" si="2"/>
        <v>6056.9</v>
      </c>
    </row>
    <row r="194" spans="1:13" ht="15.75">
      <c r="A194" s="173"/>
      <c r="B194" s="174" t="s">
        <v>187</v>
      </c>
      <c r="C194" s="175"/>
      <c r="D194" s="36">
        <v>9188.4</v>
      </c>
      <c r="E194" s="39">
        <v>2190.4</v>
      </c>
      <c r="F194" s="40">
        <f t="shared" si="2"/>
        <v>11378.8</v>
      </c>
    </row>
    <row r="195" spans="1:13" ht="15.75">
      <c r="A195" s="7" t="s">
        <v>6</v>
      </c>
      <c r="B195" s="182"/>
      <c r="C195" s="182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60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>
      <c r="A196" s="2"/>
      <c r="B196" s="3"/>
      <c r="C196" s="3"/>
      <c r="D196" s="4"/>
      <c r="E196" s="1"/>
      <c r="F196" s="4"/>
    </row>
    <row r="197" spans="1:13" s="62" customFormat="1" ht="96.75" customHeight="1">
      <c r="A197" s="196" t="s">
        <v>282</v>
      </c>
      <c r="B197" s="196"/>
      <c r="C197" s="196"/>
      <c r="D197" s="196"/>
      <c r="E197" s="196"/>
      <c r="F197" s="196"/>
    </row>
    <row r="198" spans="1:13" ht="16.5" customHeight="1">
      <c r="A198" s="196" t="s">
        <v>273</v>
      </c>
      <c r="B198" s="196"/>
      <c r="C198" s="196"/>
      <c r="D198" s="196"/>
      <c r="E198" s="196"/>
      <c r="F198" s="196"/>
      <c r="G198" s="46"/>
      <c r="H198" s="46"/>
      <c r="I198" s="46"/>
      <c r="J198" s="46"/>
      <c r="K198" s="46"/>
      <c r="L198" s="46"/>
      <c r="M198" s="46"/>
    </row>
    <row r="199" spans="1:13" s="59" customFormat="1" ht="11.25">
      <c r="A199" s="57"/>
      <c r="B199" s="57"/>
      <c r="C199" s="57"/>
      <c r="D199" s="57"/>
      <c r="E199" s="57"/>
      <c r="F199" s="58" t="s">
        <v>7</v>
      </c>
    </row>
    <row r="200" spans="1:13" ht="15.75" customHeight="1">
      <c r="A200" s="203" t="s">
        <v>10</v>
      </c>
      <c r="B200" s="204"/>
      <c r="C200" s="171" t="s">
        <v>11</v>
      </c>
      <c r="D200" s="171"/>
      <c r="E200" s="171"/>
      <c r="F200" s="171"/>
    </row>
    <row r="201" spans="1:13" ht="17.25" customHeight="1">
      <c r="A201" s="41" t="s">
        <v>12</v>
      </c>
      <c r="B201" s="73">
        <v>33.5</v>
      </c>
      <c r="C201" s="183" t="s">
        <v>27</v>
      </c>
      <c r="D201" s="184"/>
      <c r="E201" s="185"/>
      <c r="F201" s="200">
        <f>E61</f>
        <v>-6208.4937599999994</v>
      </c>
      <c r="M201" s="43"/>
    </row>
    <row r="202" spans="1:13" ht="15.75" customHeight="1">
      <c r="A202" s="42" t="s">
        <v>13</v>
      </c>
      <c r="B202" s="73">
        <f>-7537.9+30.91729+544.98895</f>
        <v>-6961.9937599999994</v>
      </c>
      <c r="C202" s="186"/>
      <c r="D202" s="187"/>
      <c r="E202" s="188"/>
      <c r="F202" s="201"/>
    </row>
    <row r="203" spans="1:13" ht="16.5" customHeight="1">
      <c r="A203" s="41" t="s">
        <v>28</v>
      </c>
      <c r="B203" s="73">
        <v>720</v>
      </c>
      <c r="C203" s="189"/>
      <c r="D203" s="190"/>
      <c r="E203" s="191"/>
      <c r="F203" s="202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>
      <c r="A204" s="192" t="s">
        <v>194</v>
      </c>
      <c r="B204" s="200">
        <v>24924</v>
      </c>
      <c r="C204" s="179" t="s">
        <v>195</v>
      </c>
      <c r="D204" s="180"/>
      <c r="E204" s="181"/>
      <c r="F204" s="75">
        <v>7447</v>
      </c>
      <c r="H204" s="16"/>
    </row>
    <row r="205" spans="1:13" ht="16.5" customHeight="1">
      <c r="A205" s="193"/>
      <c r="B205" s="201"/>
      <c r="C205" s="179" t="s">
        <v>209</v>
      </c>
      <c r="D205" s="180"/>
      <c r="E205" s="181"/>
      <c r="F205" s="75">
        <f>313-84.6</f>
        <v>228.4</v>
      </c>
      <c r="H205" s="16"/>
    </row>
    <row r="206" spans="1:13" ht="16.5" customHeight="1">
      <c r="A206" s="193"/>
      <c r="B206" s="201"/>
      <c r="C206" s="179" t="s">
        <v>196</v>
      </c>
      <c r="D206" s="180"/>
      <c r="E206" s="181"/>
      <c r="F206" s="75">
        <v>849</v>
      </c>
      <c r="H206" s="16"/>
    </row>
    <row r="207" spans="1:13" ht="16.5" customHeight="1">
      <c r="A207" s="193"/>
      <c r="B207" s="201"/>
      <c r="C207" s="179" t="s">
        <v>197</v>
      </c>
      <c r="D207" s="180"/>
      <c r="E207" s="181"/>
      <c r="F207" s="75">
        <v>1543.8</v>
      </c>
      <c r="H207" s="16"/>
    </row>
    <row r="208" spans="1:13" ht="16.5" customHeight="1">
      <c r="A208" s="193"/>
      <c r="B208" s="201"/>
      <c r="C208" s="179" t="s">
        <v>202</v>
      </c>
      <c r="D208" s="180"/>
      <c r="E208" s="181"/>
      <c r="F208" s="75">
        <v>1554.3</v>
      </c>
      <c r="H208" s="16"/>
    </row>
    <row r="209" spans="1:13" ht="16.5" customHeight="1">
      <c r="A209" s="193"/>
      <c r="B209" s="201"/>
      <c r="C209" s="179" t="s">
        <v>198</v>
      </c>
      <c r="D209" s="180"/>
      <c r="E209" s="181"/>
      <c r="F209" s="75">
        <v>213.7</v>
      </c>
      <c r="H209" s="16"/>
    </row>
    <row r="210" spans="1:13" ht="16.5" customHeight="1">
      <c r="A210" s="193"/>
      <c r="B210" s="201"/>
      <c r="C210" s="179" t="s">
        <v>199</v>
      </c>
      <c r="D210" s="180"/>
      <c r="E210" s="181"/>
      <c r="F210" s="75">
        <v>1301.5</v>
      </c>
      <c r="H210" s="16"/>
    </row>
    <row r="211" spans="1:13" ht="33" customHeight="1">
      <c r="A211" s="193"/>
      <c r="B211" s="201"/>
      <c r="C211" s="179" t="s">
        <v>200</v>
      </c>
      <c r="D211" s="180"/>
      <c r="E211" s="181"/>
      <c r="F211" s="75">
        <v>213.6</v>
      </c>
      <c r="H211" s="16"/>
    </row>
    <row r="212" spans="1:13" ht="14.25" customHeight="1">
      <c r="A212" s="193"/>
      <c r="B212" s="201"/>
      <c r="C212" s="179" t="s">
        <v>201</v>
      </c>
      <c r="D212" s="180"/>
      <c r="E212" s="181"/>
      <c r="F212" s="75">
        <f>1130.5+84.6</f>
        <v>1215.0999999999999</v>
      </c>
      <c r="H212" s="16"/>
    </row>
    <row r="213" spans="1:13" ht="33" customHeight="1">
      <c r="A213" s="193"/>
      <c r="B213" s="201"/>
      <c r="C213" s="179" t="s">
        <v>203</v>
      </c>
      <c r="D213" s="180"/>
      <c r="E213" s="181"/>
      <c r="F213" s="75">
        <v>670.6</v>
      </c>
      <c r="H213" s="16"/>
    </row>
    <row r="214" spans="1:13" ht="16.5" customHeight="1">
      <c r="A214" s="193"/>
      <c r="B214" s="201"/>
      <c r="C214" s="179" t="s">
        <v>204</v>
      </c>
      <c r="D214" s="180"/>
      <c r="E214" s="181"/>
      <c r="F214" s="75">
        <v>930.4</v>
      </c>
      <c r="H214" s="16"/>
    </row>
    <row r="215" spans="1:13" ht="16.5" customHeight="1">
      <c r="A215" s="193"/>
      <c r="B215" s="201"/>
      <c r="C215" s="179" t="s">
        <v>205</v>
      </c>
      <c r="D215" s="180"/>
      <c r="E215" s="181"/>
      <c r="F215" s="75">
        <v>1589</v>
      </c>
      <c r="H215" s="16"/>
    </row>
    <row r="216" spans="1:13" ht="16.5" customHeight="1">
      <c r="A216" s="193"/>
      <c r="B216" s="201"/>
      <c r="C216" s="179" t="s">
        <v>204</v>
      </c>
      <c r="D216" s="180"/>
      <c r="E216" s="181"/>
      <c r="F216" s="75">
        <v>2190.4</v>
      </c>
      <c r="H216" s="16"/>
    </row>
    <row r="217" spans="1:13" ht="16.5" customHeight="1">
      <c r="A217" s="193"/>
      <c r="B217" s="201"/>
      <c r="C217" s="179" t="s">
        <v>206</v>
      </c>
      <c r="D217" s="180"/>
      <c r="E217" s="181"/>
      <c r="F217" s="75">
        <v>4609.7</v>
      </c>
      <c r="H217" s="16"/>
    </row>
    <row r="218" spans="1:13" ht="16.5" customHeight="1">
      <c r="A218" s="193"/>
      <c r="B218" s="201"/>
      <c r="C218" s="197" t="s">
        <v>126</v>
      </c>
      <c r="D218" s="198"/>
      <c r="E218" s="199"/>
      <c r="F218" s="75">
        <v>64.5</v>
      </c>
      <c r="H218" s="16"/>
    </row>
    <row r="219" spans="1:13" ht="16.5" customHeight="1">
      <c r="A219" s="193"/>
      <c r="B219" s="201"/>
      <c r="C219" s="179" t="s">
        <v>207</v>
      </c>
      <c r="D219" s="180"/>
      <c r="E219" s="181"/>
      <c r="F219" s="75">
        <v>219.6</v>
      </c>
      <c r="H219" s="16"/>
    </row>
    <row r="220" spans="1:13" ht="16.5" customHeight="1">
      <c r="A220" s="194"/>
      <c r="B220" s="202"/>
      <c r="C220" s="179" t="s">
        <v>208</v>
      </c>
      <c r="D220" s="180"/>
      <c r="E220" s="181"/>
      <c r="F220" s="75">
        <v>83.4</v>
      </c>
      <c r="H220" s="16"/>
    </row>
    <row r="221" spans="1:13" ht="48" customHeight="1">
      <c r="A221" s="61" t="s">
        <v>122</v>
      </c>
      <c r="B221" s="74">
        <v>65</v>
      </c>
      <c r="C221" s="179" t="s">
        <v>211</v>
      </c>
      <c r="D221" s="180"/>
      <c r="E221" s="181"/>
      <c r="F221" s="73">
        <v>45</v>
      </c>
    </row>
    <row r="222" spans="1:13" ht="16.5" customHeight="1">
      <c r="A222" s="61" t="s">
        <v>22</v>
      </c>
      <c r="B222" s="74">
        <v>1500</v>
      </c>
      <c r="C222" s="179" t="s">
        <v>127</v>
      </c>
      <c r="D222" s="180"/>
      <c r="E222" s="181"/>
      <c r="F222" s="76">
        <v>1500</v>
      </c>
    </row>
    <row r="223" spans="1:13" ht="30.75" customHeight="1">
      <c r="A223" s="77" t="s">
        <v>234</v>
      </c>
      <c r="B223" s="73">
        <v>2497.1</v>
      </c>
      <c r="C223" s="179" t="s">
        <v>201</v>
      </c>
      <c r="D223" s="180"/>
      <c r="E223" s="181"/>
      <c r="F223" s="73">
        <v>2497.1</v>
      </c>
    </row>
    <row r="224" spans="1:13" ht="15">
      <c r="A224" s="18" t="s">
        <v>9</v>
      </c>
      <c r="B224" s="78">
        <f>SUM(B201:B222)</f>
        <v>20280.506240000002</v>
      </c>
      <c r="C224" s="176" t="s">
        <v>9</v>
      </c>
      <c r="D224" s="176"/>
      <c r="E224" s="176"/>
      <c r="F224" s="79">
        <f>SUM(F201:F222)</f>
        <v>20260.506239999999</v>
      </c>
      <c r="M224" s="43">
        <f>B224-F224</f>
        <v>20.000000000003638</v>
      </c>
    </row>
    <row r="225" spans="1:12" ht="0.75" customHeight="1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>
      <c r="A226" s="177" t="s">
        <v>84</v>
      </c>
      <c r="B226" s="177"/>
      <c r="C226" s="177"/>
      <c r="D226" s="177"/>
      <c r="E226" s="178" t="s">
        <v>85</v>
      </c>
      <c r="F226" s="178"/>
    </row>
    <row r="227" spans="1:12" ht="1.5" customHeight="1">
      <c r="A227" s="2"/>
      <c r="B227" s="3"/>
      <c r="C227" s="3"/>
      <c r="D227" s="4"/>
      <c r="E227" s="1"/>
      <c r="F227" s="4"/>
    </row>
    <row r="228" spans="1:12" ht="15.75" customHeight="1">
      <c r="B228" s="16"/>
    </row>
    <row r="229" spans="1:12" ht="17.25" customHeight="1"/>
    <row r="230" spans="1:12" ht="14.25" customHeight="1">
      <c r="G230" s="16"/>
      <c r="H230" s="16"/>
      <c r="J230" s="16"/>
      <c r="L230" s="16"/>
    </row>
    <row r="231" spans="1:12" ht="14.25" customHeight="1">
      <c r="G231" s="16"/>
      <c r="H231" s="16"/>
      <c r="J231" s="16"/>
      <c r="L231" s="16"/>
    </row>
  </sheetData>
  <mergeCells count="152"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9"/>
  <sheetViews>
    <sheetView tabSelected="1" topLeftCell="A61" workbookViewId="0">
      <selection activeCell="L73" sqref="L73"/>
    </sheetView>
  </sheetViews>
  <sheetFormatPr defaultRowHeight="12.75"/>
  <cols>
    <col min="1" max="1" width="39.28515625" style="5" customWidth="1"/>
    <col min="2" max="2" width="13.42578125" style="5" customWidth="1"/>
    <col min="3" max="3" width="14.5703125" style="5" customWidth="1"/>
    <col min="4" max="4" width="14" style="5" customWidth="1"/>
    <col min="5" max="5" width="16.42578125" style="5" customWidth="1"/>
    <col min="6" max="6" width="23" style="5" customWidth="1"/>
    <col min="7" max="7" width="20.5703125" style="5" hidden="1" customWidth="1"/>
    <col min="8" max="8" width="13.140625" style="5" hidden="1" customWidth="1"/>
    <col min="9" max="9" width="16.28515625" style="5" hidden="1" customWidth="1"/>
    <col min="10" max="10" width="36.28515625" style="5" hidden="1" customWidth="1"/>
    <col min="11" max="12" width="9.140625" style="5" customWidth="1"/>
    <col min="13" max="13" width="13.140625" style="5" customWidth="1"/>
    <col min="14" max="14" width="9.140625" style="5" customWidth="1"/>
    <col min="15" max="15" width="12.42578125" style="5" customWidth="1"/>
    <col min="16" max="16384" width="9.140625" style="5"/>
  </cols>
  <sheetData>
    <row r="1" spans="1:8" ht="19.5" customHeight="1">
      <c r="A1" s="224" t="s">
        <v>0</v>
      </c>
      <c r="B1" s="224"/>
      <c r="C1" s="224"/>
      <c r="D1" s="224"/>
      <c r="E1" s="224"/>
      <c r="F1" s="224"/>
    </row>
    <row r="2" spans="1:8" ht="66.75" customHeight="1">
      <c r="A2" s="225" t="s">
        <v>474</v>
      </c>
      <c r="B2" s="225"/>
      <c r="C2" s="225"/>
      <c r="D2" s="225"/>
      <c r="E2" s="225"/>
      <c r="F2" s="225"/>
    </row>
    <row r="3" spans="1:8" ht="15.75" customHeight="1">
      <c r="A3" s="217" t="s">
        <v>128</v>
      </c>
      <c r="B3" s="217"/>
      <c r="C3" s="217"/>
      <c r="D3" s="217"/>
      <c r="E3" s="217"/>
      <c r="F3" s="217"/>
      <c r="G3" s="128"/>
      <c r="H3" s="128"/>
    </row>
    <row r="4" spans="1:8" ht="17.25" customHeight="1">
      <c r="A4" s="217" t="s">
        <v>754</v>
      </c>
      <c r="B4" s="217"/>
      <c r="C4" s="217"/>
      <c r="D4" s="217"/>
      <c r="E4" s="217"/>
      <c r="F4" s="217"/>
      <c r="G4" s="128"/>
      <c r="H4" s="128"/>
    </row>
    <row r="5" spans="1:8" ht="18.75" customHeight="1">
      <c r="A5" s="227" t="s">
        <v>756</v>
      </c>
      <c r="B5" s="227"/>
      <c r="C5" s="227"/>
      <c r="D5" s="227"/>
      <c r="E5" s="227"/>
      <c r="F5" s="227"/>
      <c r="G5" s="128"/>
      <c r="H5" s="128"/>
    </row>
    <row r="6" spans="1:8" ht="18.75" customHeight="1">
      <c r="A6" s="227" t="s">
        <v>748</v>
      </c>
      <c r="B6" s="227"/>
      <c r="C6" s="227"/>
      <c r="D6" s="227"/>
      <c r="E6" s="227"/>
      <c r="F6" s="227"/>
      <c r="G6" s="128"/>
      <c r="H6" s="128"/>
    </row>
    <row r="7" spans="1:8" ht="17.25" customHeight="1">
      <c r="A7" s="227" t="s">
        <v>755</v>
      </c>
      <c r="B7" s="227"/>
      <c r="C7" s="227"/>
      <c r="D7" s="227"/>
      <c r="E7" s="227"/>
      <c r="F7" s="227"/>
      <c r="G7" s="128"/>
      <c r="H7" s="128"/>
    </row>
    <row r="8" spans="1:8" ht="17.25" customHeight="1">
      <c r="A8" s="217" t="s">
        <v>749</v>
      </c>
      <c r="B8" s="217"/>
      <c r="C8" s="217"/>
      <c r="D8" s="217"/>
      <c r="E8" s="217"/>
      <c r="F8" s="217"/>
      <c r="G8" s="128"/>
      <c r="H8" s="128"/>
    </row>
    <row r="9" spans="1:8" ht="7.5" customHeight="1">
      <c r="A9" s="126"/>
      <c r="B9" s="126"/>
      <c r="C9" s="126"/>
      <c r="D9" s="126"/>
      <c r="E9" s="126"/>
      <c r="F9" s="126"/>
      <c r="G9" s="128"/>
      <c r="H9" s="128"/>
    </row>
    <row r="10" spans="1:8" ht="15.75" customHeight="1">
      <c r="A10" s="228" t="s">
        <v>129</v>
      </c>
      <c r="B10" s="228"/>
      <c r="C10" s="228"/>
      <c r="D10" s="228"/>
      <c r="E10" s="228"/>
      <c r="F10" s="228"/>
      <c r="G10" s="128"/>
      <c r="H10" s="128"/>
    </row>
    <row r="11" spans="1:8" ht="11.25" customHeight="1" thickBot="1">
      <c r="A11" s="127"/>
      <c r="B11" s="127"/>
      <c r="C11" s="127"/>
      <c r="D11" s="127"/>
      <c r="E11" s="127"/>
      <c r="F11" s="170" t="s">
        <v>753</v>
      </c>
      <c r="G11" s="128"/>
      <c r="H11" s="128"/>
    </row>
    <row r="12" spans="1:8" ht="41.25" customHeight="1" thickBot="1">
      <c r="A12" s="167" t="s">
        <v>15</v>
      </c>
      <c r="B12" s="168" t="s">
        <v>60</v>
      </c>
      <c r="C12" s="168" t="s">
        <v>692</v>
      </c>
      <c r="D12" s="168" t="s">
        <v>16</v>
      </c>
      <c r="E12" s="168" t="s">
        <v>17</v>
      </c>
      <c r="F12" s="169" t="s">
        <v>18</v>
      </c>
      <c r="G12" s="128"/>
      <c r="H12" s="128"/>
    </row>
    <row r="13" spans="1:8" ht="111.75" customHeight="1">
      <c r="A13" s="163" t="s">
        <v>750</v>
      </c>
      <c r="B13" s="164">
        <v>276370</v>
      </c>
      <c r="C13" s="164">
        <v>273320.3</v>
      </c>
      <c r="D13" s="165">
        <v>273420.2</v>
      </c>
      <c r="E13" s="164">
        <f>D13-B13</f>
        <v>-2949.7999999999884</v>
      </c>
      <c r="F13" s="166" t="s">
        <v>752</v>
      </c>
      <c r="G13" s="128"/>
      <c r="H13" s="128"/>
    </row>
    <row r="14" spans="1:8" ht="169.5" customHeight="1">
      <c r="A14" s="148" t="s">
        <v>456</v>
      </c>
      <c r="B14" s="83">
        <v>1827</v>
      </c>
      <c r="C14" s="83">
        <v>1376</v>
      </c>
      <c r="D14" s="83">
        <v>1376</v>
      </c>
      <c r="E14" s="83">
        <f t="shared" ref="E14:E62" si="0">D14-B14</f>
        <v>-451</v>
      </c>
      <c r="F14" s="147" t="s">
        <v>693</v>
      </c>
      <c r="G14" s="128"/>
      <c r="H14" s="128"/>
    </row>
    <row r="15" spans="1:8" ht="80.25" customHeight="1">
      <c r="A15" s="146" t="s">
        <v>457</v>
      </c>
      <c r="B15" s="83">
        <v>1689</v>
      </c>
      <c r="C15" s="96">
        <v>1084</v>
      </c>
      <c r="D15" s="96">
        <v>1084</v>
      </c>
      <c r="E15" s="83">
        <f t="shared" si="0"/>
        <v>-605</v>
      </c>
      <c r="F15" s="147" t="s">
        <v>694</v>
      </c>
      <c r="G15" s="128"/>
      <c r="H15" s="128"/>
    </row>
    <row r="16" spans="1:8" ht="60" customHeight="1">
      <c r="A16" s="146" t="s">
        <v>480</v>
      </c>
      <c r="B16" s="83">
        <v>0</v>
      </c>
      <c r="C16" s="96">
        <v>317</v>
      </c>
      <c r="D16" s="96">
        <v>317</v>
      </c>
      <c r="E16" s="83">
        <f t="shared" si="0"/>
        <v>317</v>
      </c>
      <c r="F16" s="147" t="s">
        <v>695</v>
      </c>
      <c r="G16" s="128"/>
      <c r="H16" s="128"/>
    </row>
    <row r="17" spans="1:8" ht="114" customHeight="1">
      <c r="A17" s="146" t="s">
        <v>458</v>
      </c>
      <c r="B17" s="83">
        <v>5354</v>
      </c>
      <c r="C17" s="96">
        <v>6388</v>
      </c>
      <c r="D17" s="83">
        <v>6388</v>
      </c>
      <c r="E17" s="83">
        <f t="shared" si="0"/>
        <v>1034</v>
      </c>
      <c r="F17" s="147" t="s">
        <v>696</v>
      </c>
      <c r="G17" s="128"/>
      <c r="H17" s="128"/>
    </row>
    <row r="18" spans="1:8" ht="140.25" customHeight="1">
      <c r="A18" s="146" t="s">
        <v>697</v>
      </c>
      <c r="B18" s="83">
        <v>115</v>
      </c>
      <c r="C18" s="83">
        <v>98</v>
      </c>
      <c r="D18" s="83">
        <v>98</v>
      </c>
      <c r="E18" s="83">
        <f t="shared" si="0"/>
        <v>-17</v>
      </c>
      <c r="F18" s="147" t="s">
        <v>698</v>
      </c>
      <c r="G18" s="128"/>
      <c r="H18" s="128"/>
    </row>
    <row r="19" spans="1:8" ht="120" customHeight="1">
      <c r="A19" s="146" t="s">
        <v>459</v>
      </c>
      <c r="B19" s="83">
        <v>12385</v>
      </c>
      <c r="C19" s="96">
        <v>13156</v>
      </c>
      <c r="D19" s="83">
        <v>13156</v>
      </c>
      <c r="E19" s="83">
        <f t="shared" si="0"/>
        <v>771</v>
      </c>
      <c r="F19" s="147" t="s">
        <v>699</v>
      </c>
      <c r="G19" s="128"/>
      <c r="H19" s="128"/>
    </row>
    <row r="20" spans="1:8" ht="32.25" customHeight="1">
      <c r="A20" s="149" t="s">
        <v>316</v>
      </c>
      <c r="B20" s="83">
        <v>51774</v>
      </c>
      <c r="C20" s="83">
        <v>46719</v>
      </c>
      <c r="D20" s="83">
        <v>46719</v>
      </c>
      <c r="E20" s="84">
        <f t="shared" si="0"/>
        <v>-5055</v>
      </c>
      <c r="F20" s="147" t="s">
        <v>700</v>
      </c>
      <c r="G20" s="128"/>
      <c r="H20" s="128"/>
    </row>
    <row r="21" spans="1:8" ht="27.75" customHeight="1">
      <c r="A21" s="150" t="s">
        <v>103</v>
      </c>
      <c r="B21" s="84">
        <v>650</v>
      </c>
      <c r="C21" s="84">
        <v>745</v>
      </c>
      <c r="D21" s="84">
        <v>745</v>
      </c>
      <c r="E21" s="84">
        <f t="shared" si="0"/>
        <v>95</v>
      </c>
      <c r="F21" s="147" t="s">
        <v>701</v>
      </c>
      <c r="G21" s="128"/>
      <c r="H21" s="128"/>
    </row>
    <row r="22" spans="1:8" ht="65.25" customHeight="1">
      <c r="A22" s="146" t="s">
        <v>702</v>
      </c>
      <c r="B22" s="84">
        <v>685</v>
      </c>
      <c r="C22" s="84">
        <v>841</v>
      </c>
      <c r="D22" s="84">
        <v>841</v>
      </c>
      <c r="E22" s="84">
        <f t="shared" si="0"/>
        <v>156</v>
      </c>
      <c r="F22" s="147" t="s">
        <v>744</v>
      </c>
      <c r="G22" s="128"/>
      <c r="H22" s="128"/>
    </row>
    <row r="23" spans="1:8" ht="78.75" customHeight="1">
      <c r="A23" s="146" t="s">
        <v>460</v>
      </c>
      <c r="B23" s="84">
        <v>3595</v>
      </c>
      <c r="C23" s="84">
        <v>5440</v>
      </c>
      <c r="D23" s="84">
        <v>5440</v>
      </c>
      <c r="E23" s="84">
        <f t="shared" si="0"/>
        <v>1845</v>
      </c>
      <c r="F23" s="147" t="s">
        <v>703</v>
      </c>
      <c r="G23" s="128"/>
      <c r="H23" s="128"/>
    </row>
    <row r="24" spans="1:8" ht="32.25" customHeight="1">
      <c r="A24" s="151" t="s">
        <v>461</v>
      </c>
      <c r="B24" s="84">
        <v>326</v>
      </c>
      <c r="C24" s="84">
        <v>371</v>
      </c>
      <c r="D24" s="84">
        <v>371</v>
      </c>
      <c r="E24" s="84">
        <f t="shared" si="0"/>
        <v>45</v>
      </c>
      <c r="F24" s="147" t="s">
        <v>704</v>
      </c>
      <c r="G24" s="128"/>
      <c r="H24" s="128"/>
    </row>
    <row r="25" spans="1:8" ht="38.25" customHeight="1">
      <c r="A25" s="151" t="s">
        <v>705</v>
      </c>
      <c r="B25" s="84">
        <v>1642</v>
      </c>
      <c r="C25" s="84">
        <v>1611</v>
      </c>
      <c r="D25" s="84">
        <v>1611</v>
      </c>
      <c r="E25" s="84">
        <f t="shared" si="0"/>
        <v>-31</v>
      </c>
      <c r="F25" s="147" t="s">
        <v>706</v>
      </c>
      <c r="G25" s="128"/>
      <c r="H25" s="128"/>
    </row>
    <row r="26" spans="1:8" ht="60" customHeight="1">
      <c r="A26" s="146" t="s">
        <v>462</v>
      </c>
      <c r="B26" s="84">
        <v>57601</v>
      </c>
      <c r="C26" s="84">
        <v>62847</v>
      </c>
      <c r="D26" s="84">
        <v>62847</v>
      </c>
      <c r="E26" s="84">
        <f t="shared" si="0"/>
        <v>5246</v>
      </c>
      <c r="F26" s="147" t="s">
        <v>707</v>
      </c>
      <c r="G26" s="128"/>
      <c r="H26" s="128"/>
    </row>
    <row r="27" spans="1:8" ht="60" customHeight="1">
      <c r="A27" s="146" t="s">
        <v>463</v>
      </c>
      <c r="B27" s="84">
        <v>6258</v>
      </c>
      <c r="C27" s="84">
        <v>7310</v>
      </c>
      <c r="D27" s="84">
        <v>7310</v>
      </c>
      <c r="E27" s="84">
        <f t="shared" si="0"/>
        <v>1052</v>
      </c>
      <c r="F27" s="147" t="s">
        <v>708</v>
      </c>
      <c r="G27" s="128"/>
      <c r="H27" s="128"/>
    </row>
    <row r="28" spans="1:8" ht="67.5" customHeight="1">
      <c r="A28" s="146" t="s">
        <v>464</v>
      </c>
      <c r="B28" s="84">
        <v>9924</v>
      </c>
      <c r="C28" s="84">
        <v>8803</v>
      </c>
      <c r="D28" s="84">
        <v>8803</v>
      </c>
      <c r="E28" s="84">
        <f t="shared" si="0"/>
        <v>-1121</v>
      </c>
      <c r="F28" s="147" t="s">
        <v>709</v>
      </c>
      <c r="G28" s="128"/>
      <c r="H28" s="128"/>
    </row>
    <row r="29" spans="1:8" ht="109.5" customHeight="1">
      <c r="A29" s="152" t="s">
        <v>710</v>
      </c>
      <c r="B29" s="84">
        <v>0</v>
      </c>
      <c r="C29" s="84">
        <v>1.3</v>
      </c>
      <c r="D29" s="84">
        <v>1.3</v>
      </c>
      <c r="E29" s="84">
        <f t="shared" si="0"/>
        <v>1.3</v>
      </c>
      <c r="F29" s="147" t="s">
        <v>711</v>
      </c>
      <c r="G29" s="128"/>
      <c r="H29" s="128"/>
    </row>
    <row r="30" spans="1:8" ht="51" customHeight="1">
      <c r="A30" s="153" t="s">
        <v>62</v>
      </c>
      <c r="B30" s="84">
        <v>1000</v>
      </c>
      <c r="C30" s="84">
        <v>1757</v>
      </c>
      <c r="D30" s="84">
        <v>1757</v>
      </c>
      <c r="E30" s="84">
        <f t="shared" si="0"/>
        <v>757</v>
      </c>
      <c r="F30" s="147" t="s">
        <v>712</v>
      </c>
      <c r="G30" s="128"/>
      <c r="H30" s="128"/>
    </row>
    <row r="31" spans="1:8" ht="65.25" customHeight="1">
      <c r="A31" s="154" t="s">
        <v>61</v>
      </c>
      <c r="B31" s="84">
        <v>120</v>
      </c>
      <c r="C31" s="84">
        <v>179.4</v>
      </c>
      <c r="D31" s="84">
        <v>180</v>
      </c>
      <c r="E31" s="84">
        <f t="shared" si="0"/>
        <v>60</v>
      </c>
      <c r="F31" s="147" t="s">
        <v>713</v>
      </c>
      <c r="G31" s="128"/>
      <c r="H31" s="128"/>
    </row>
    <row r="32" spans="1:8" ht="98.25" customHeight="1">
      <c r="A32" s="150" t="s">
        <v>317</v>
      </c>
      <c r="B32" s="84">
        <v>328</v>
      </c>
      <c r="C32" s="28">
        <v>276.39999999999998</v>
      </c>
      <c r="D32" s="84">
        <v>277</v>
      </c>
      <c r="E32" s="84">
        <f t="shared" si="0"/>
        <v>-51</v>
      </c>
      <c r="F32" s="147" t="s">
        <v>714</v>
      </c>
      <c r="G32" s="128"/>
      <c r="H32" s="128"/>
    </row>
    <row r="33" spans="1:8" ht="93" customHeight="1">
      <c r="A33" s="146" t="s">
        <v>326</v>
      </c>
      <c r="B33" s="84">
        <v>123602</v>
      </c>
      <c r="C33" s="84">
        <v>123436</v>
      </c>
      <c r="D33" s="84">
        <v>123436</v>
      </c>
      <c r="E33" s="84">
        <f t="shared" si="0"/>
        <v>-166</v>
      </c>
      <c r="F33" s="147" t="s">
        <v>715</v>
      </c>
      <c r="G33" s="128"/>
      <c r="H33" s="128"/>
    </row>
    <row r="34" spans="1:8" ht="105.75" customHeight="1">
      <c r="A34" s="146" t="s">
        <v>465</v>
      </c>
      <c r="B34" s="84">
        <v>70</v>
      </c>
      <c r="C34" s="28">
        <v>71.7</v>
      </c>
      <c r="D34" s="84">
        <v>72</v>
      </c>
      <c r="E34" s="84">
        <f t="shared" si="0"/>
        <v>2</v>
      </c>
      <c r="F34" s="147" t="s">
        <v>716</v>
      </c>
      <c r="G34" s="128"/>
      <c r="H34" s="128"/>
    </row>
    <row r="35" spans="1:8" ht="97.5" customHeight="1">
      <c r="A35" s="146" t="s">
        <v>466</v>
      </c>
      <c r="B35" s="84">
        <v>523</v>
      </c>
      <c r="C35" s="28">
        <v>516.4</v>
      </c>
      <c r="D35" s="84">
        <v>516</v>
      </c>
      <c r="E35" s="84">
        <f t="shared" si="0"/>
        <v>-7</v>
      </c>
      <c r="F35" s="147" t="s">
        <v>717</v>
      </c>
      <c r="G35" s="128"/>
      <c r="H35" s="128"/>
    </row>
    <row r="36" spans="1:8" ht="50.25" customHeight="1">
      <c r="A36" s="155" t="s">
        <v>718</v>
      </c>
      <c r="B36" s="84">
        <v>20509.7</v>
      </c>
      <c r="C36" s="28">
        <v>20751.3</v>
      </c>
      <c r="D36" s="84">
        <v>20751.3</v>
      </c>
      <c r="E36" s="84">
        <f t="shared" si="0"/>
        <v>241.59999999999854</v>
      </c>
      <c r="F36" s="147" t="s">
        <v>719</v>
      </c>
      <c r="G36" s="128"/>
      <c r="H36" s="128"/>
    </row>
    <row r="37" spans="1:8" ht="79.5" customHeight="1">
      <c r="A37" s="146" t="s">
        <v>250</v>
      </c>
      <c r="B37" s="84">
        <v>138</v>
      </c>
      <c r="C37" s="28">
        <v>150.69999999999999</v>
      </c>
      <c r="D37" s="84">
        <v>151</v>
      </c>
      <c r="E37" s="84">
        <f t="shared" si="0"/>
        <v>13</v>
      </c>
      <c r="F37" s="147" t="s">
        <v>720</v>
      </c>
      <c r="G37" s="128"/>
      <c r="H37" s="128"/>
    </row>
    <row r="38" spans="1:8" ht="126" customHeight="1">
      <c r="A38" s="146" t="s">
        <v>467</v>
      </c>
      <c r="B38" s="84">
        <v>5039</v>
      </c>
      <c r="C38" s="28">
        <v>2129.6999999999998</v>
      </c>
      <c r="D38" s="84">
        <v>2130</v>
      </c>
      <c r="E38" s="84">
        <f t="shared" si="0"/>
        <v>-2909</v>
      </c>
      <c r="F38" s="147" t="s">
        <v>721</v>
      </c>
      <c r="G38" s="128"/>
      <c r="H38" s="128"/>
    </row>
    <row r="39" spans="1:8" ht="51" customHeight="1">
      <c r="A39" s="150" t="s">
        <v>19</v>
      </c>
      <c r="B39" s="84">
        <v>450</v>
      </c>
      <c r="C39" s="84">
        <v>389</v>
      </c>
      <c r="D39" s="84">
        <v>389</v>
      </c>
      <c r="E39" s="84">
        <f t="shared" si="0"/>
        <v>-61</v>
      </c>
      <c r="F39" s="147" t="s">
        <v>722</v>
      </c>
      <c r="G39" s="128"/>
      <c r="H39" s="128"/>
    </row>
    <row r="40" spans="1:8" ht="54" customHeight="1">
      <c r="A40" s="146" t="s">
        <v>105</v>
      </c>
      <c r="B40" s="84">
        <v>22</v>
      </c>
      <c r="C40" s="28">
        <v>24.1</v>
      </c>
      <c r="D40" s="84">
        <v>24</v>
      </c>
      <c r="E40" s="84">
        <f t="shared" si="0"/>
        <v>2</v>
      </c>
      <c r="F40" s="147" t="s">
        <v>723</v>
      </c>
      <c r="G40" s="128"/>
      <c r="H40" s="128"/>
    </row>
    <row r="41" spans="1:8" ht="44.25" customHeight="1">
      <c r="A41" s="150" t="s">
        <v>23</v>
      </c>
      <c r="B41" s="84">
        <v>2012</v>
      </c>
      <c r="C41" s="28">
        <v>2120.8000000000002</v>
      </c>
      <c r="D41" s="84">
        <v>2121</v>
      </c>
      <c r="E41" s="84">
        <f t="shared" si="0"/>
        <v>109</v>
      </c>
      <c r="F41" s="147" t="s">
        <v>724</v>
      </c>
      <c r="G41" s="128"/>
      <c r="H41" s="128"/>
    </row>
    <row r="42" spans="1:8" ht="59.25" customHeight="1">
      <c r="A42" s="146" t="s">
        <v>106</v>
      </c>
      <c r="B42" s="84">
        <v>495.6</v>
      </c>
      <c r="C42" s="28">
        <v>643.6</v>
      </c>
      <c r="D42" s="84">
        <v>643.6</v>
      </c>
      <c r="E42" s="84">
        <f t="shared" si="0"/>
        <v>148</v>
      </c>
      <c r="F42" s="147" t="s">
        <v>725</v>
      </c>
      <c r="G42" s="128"/>
      <c r="H42" s="128"/>
    </row>
    <row r="43" spans="1:8" ht="68.25" customHeight="1">
      <c r="A43" s="156" t="s">
        <v>104</v>
      </c>
      <c r="B43" s="84">
        <v>2029.5</v>
      </c>
      <c r="C43" s="84">
        <v>2090</v>
      </c>
      <c r="D43" s="84">
        <v>2090</v>
      </c>
      <c r="E43" s="28">
        <f t="shared" si="0"/>
        <v>60.5</v>
      </c>
      <c r="F43" s="147" t="s">
        <v>726</v>
      </c>
      <c r="G43" s="128"/>
      <c r="H43" s="128"/>
    </row>
    <row r="44" spans="1:8" ht="37.5" customHeight="1">
      <c r="A44" s="156" t="s">
        <v>318</v>
      </c>
      <c r="B44" s="84">
        <v>3671.9</v>
      </c>
      <c r="C44" s="84">
        <v>4159.3</v>
      </c>
      <c r="D44" s="84">
        <v>4159.3</v>
      </c>
      <c r="E44" s="28">
        <f t="shared" si="0"/>
        <v>487.40000000000009</v>
      </c>
      <c r="F44" s="147" t="s">
        <v>727</v>
      </c>
      <c r="G44" s="128"/>
      <c r="H44" s="128"/>
    </row>
    <row r="45" spans="1:8" ht="41.25" customHeight="1">
      <c r="A45" s="146" t="s">
        <v>468</v>
      </c>
      <c r="B45" s="28">
        <v>430</v>
      </c>
      <c r="C45" s="84">
        <v>780</v>
      </c>
      <c r="D45" s="84">
        <v>780</v>
      </c>
      <c r="E45" s="84">
        <f t="shared" si="0"/>
        <v>350</v>
      </c>
      <c r="F45" s="147" t="s">
        <v>728</v>
      </c>
      <c r="G45" s="128"/>
      <c r="H45" s="128"/>
    </row>
    <row r="46" spans="1:8" ht="125.25" customHeight="1">
      <c r="A46" s="154" t="s">
        <v>108</v>
      </c>
      <c r="B46" s="28">
        <v>23900</v>
      </c>
      <c r="C46" s="28">
        <v>25499.200000000001</v>
      </c>
      <c r="D46" s="28">
        <v>25500</v>
      </c>
      <c r="E46" s="84">
        <f t="shared" si="0"/>
        <v>1600</v>
      </c>
      <c r="F46" s="147" t="s">
        <v>729</v>
      </c>
      <c r="G46" s="128"/>
      <c r="H46" s="128"/>
    </row>
    <row r="47" spans="1:8" ht="54" customHeight="1">
      <c r="A47" s="154" t="s">
        <v>469</v>
      </c>
      <c r="B47" s="28">
        <v>14714</v>
      </c>
      <c r="C47" s="84">
        <v>15285</v>
      </c>
      <c r="D47" s="84">
        <v>15285</v>
      </c>
      <c r="E47" s="84">
        <f t="shared" si="0"/>
        <v>571</v>
      </c>
      <c r="F47" s="147" t="s">
        <v>730</v>
      </c>
      <c r="G47" s="128"/>
      <c r="H47" s="128"/>
    </row>
    <row r="48" spans="1:8" ht="165" customHeight="1">
      <c r="A48" s="151" t="s">
        <v>278</v>
      </c>
      <c r="B48" s="28">
        <v>160</v>
      </c>
      <c r="C48" s="28">
        <v>226</v>
      </c>
      <c r="D48" s="84">
        <v>226</v>
      </c>
      <c r="E48" s="84">
        <f t="shared" si="0"/>
        <v>66</v>
      </c>
      <c r="F48" s="147" t="s">
        <v>731</v>
      </c>
      <c r="G48" s="128"/>
      <c r="H48" s="128"/>
    </row>
    <row r="49" spans="1:8" ht="81" customHeight="1">
      <c r="A49" s="150" t="s">
        <v>256</v>
      </c>
      <c r="B49" s="28">
        <v>12</v>
      </c>
      <c r="C49" s="28">
        <v>516</v>
      </c>
      <c r="D49" s="84">
        <v>16</v>
      </c>
      <c r="E49" s="28">
        <f t="shared" si="0"/>
        <v>4</v>
      </c>
      <c r="F49" s="147" t="s">
        <v>732</v>
      </c>
      <c r="G49" s="128"/>
      <c r="H49" s="128"/>
    </row>
    <row r="50" spans="1:8" ht="95.25" customHeight="1">
      <c r="A50" s="150" t="s">
        <v>319</v>
      </c>
      <c r="B50" s="28">
        <v>18</v>
      </c>
      <c r="C50" s="84">
        <v>3</v>
      </c>
      <c r="D50" s="84">
        <v>3</v>
      </c>
      <c r="E50" s="84">
        <f t="shared" si="0"/>
        <v>-15</v>
      </c>
      <c r="F50" s="147" t="s">
        <v>733</v>
      </c>
      <c r="G50" s="128"/>
      <c r="H50" s="128"/>
    </row>
    <row r="51" spans="1:8" ht="92.25" customHeight="1">
      <c r="A51" s="154" t="s">
        <v>63</v>
      </c>
      <c r="B51" s="28">
        <v>289</v>
      </c>
      <c r="C51" s="84">
        <v>304</v>
      </c>
      <c r="D51" s="84">
        <v>304</v>
      </c>
      <c r="E51" s="84">
        <f t="shared" si="0"/>
        <v>15</v>
      </c>
      <c r="F51" s="147" t="s">
        <v>734</v>
      </c>
      <c r="G51" s="128"/>
      <c r="H51" s="128"/>
    </row>
    <row r="52" spans="1:8" ht="77.25" customHeight="1">
      <c r="A52" s="146" t="s">
        <v>260</v>
      </c>
      <c r="B52" s="28">
        <v>40</v>
      </c>
      <c r="C52" s="84">
        <v>35</v>
      </c>
      <c r="D52" s="84">
        <v>35</v>
      </c>
      <c r="E52" s="84">
        <f t="shared" si="0"/>
        <v>-5</v>
      </c>
      <c r="F52" s="147" t="s">
        <v>735</v>
      </c>
      <c r="G52" s="128"/>
      <c r="H52" s="128"/>
    </row>
    <row r="53" spans="1:8" ht="37.5" customHeight="1">
      <c r="A53" s="146" t="s">
        <v>470</v>
      </c>
      <c r="B53" s="28">
        <v>10</v>
      </c>
      <c r="C53" s="84">
        <v>10.4</v>
      </c>
      <c r="D53" s="28">
        <v>11</v>
      </c>
      <c r="E53" s="84">
        <f t="shared" si="0"/>
        <v>1</v>
      </c>
      <c r="F53" s="147" t="s">
        <v>736</v>
      </c>
      <c r="G53" s="128"/>
      <c r="H53" s="128"/>
    </row>
    <row r="54" spans="1:8" ht="51.75" customHeight="1">
      <c r="A54" s="150" t="s">
        <v>471</v>
      </c>
      <c r="B54" s="28">
        <v>43</v>
      </c>
      <c r="C54" s="84">
        <v>3</v>
      </c>
      <c r="D54" s="28">
        <v>3</v>
      </c>
      <c r="E54" s="84">
        <f t="shared" si="0"/>
        <v>-40</v>
      </c>
      <c r="F54" s="147" t="s">
        <v>733</v>
      </c>
      <c r="G54" s="128"/>
      <c r="H54" s="128"/>
    </row>
    <row r="55" spans="1:8" ht="36" customHeight="1">
      <c r="A55" s="154" t="s">
        <v>472</v>
      </c>
      <c r="B55" s="28">
        <v>22</v>
      </c>
      <c r="C55" s="84">
        <v>17</v>
      </c>
      <c r="D55" s="28">
        <v>17</v>
      </c>
      <c r="E55" s="84">
        <f t="shared" si="0"/>
        <v>-5</v>
      </c>
      <c r="F55" s="147" t="s">
        <v>737</v>
      </c>
      <c r="G55" s="128"/>
      <c r="H55" s="128"/>
    </row>
    <row r="56" spans="1:8" ht="74.25" customHeight="1">
      <c r="A56" s="150" t="s">
        <v>320</v>
      </c>
      <c r="B56" s="84">
        <v>1810</v>
      </c>
      <c r="C56" s="84">
        <v>1952</v>
      </c>
      <c r="D56" s="84">
        <v>1952</v>
      </c>
      <c r="E56" s="84">
        <f t="shared" si="0"/>
        <v>142</v>
      </c>
      <c r="F56" s="147" t="s">
        <v>738</v>
      </c>
      <c r="G56" s="128"/>
      <c r="H56" s="128"/>
    </row>
    <row r="57" spans="1:8" ht="91.5" customHeight="1">
      <c r="A57" s="146" t="s">
        <v>30</v>
      </c>
      <c r="B57" s="84">
        <v>55</v>
      </c>
      <c r="C57" s="84">
        <v>51</v>
      </c>
      <c r="D57" s="84">
        <v>51</v>
      </c>
      <c r="E57" s="84">
        <f t="shared" si="0"/>
        <v>-4</v>
      </c>
      <c r="F57" s="147" t="s">
        <v>739</v>
      </c>
      <c r="G57" s="128"/>
      <c r="H57" s="128"/>
    </row>
    <row r="58" spans="1:8" ht="53.25" customHeight="1">
      <c r="A58" s="150" t="s">
        <v>321</v>
      </c>
      <c r="B58" s="84">
        <v>19</v>
      </c>
      <c r="C58" s="84">
        <v>37</v>
      </c>
      <c r="D58" s="84">
        <v>537</v>
      </c>
      <c r="E58" s="84">
        <f t="shared" si="0"/>
        <v>518</v>
      </c>
      <c r="F58" s="147" t="s">
        <v>746</v>
      </c>
      <c r="G58" s="128"/>
      <c r="H58" s="128"/>
    </row>
    <row r="59" spans="1:8" ht="107.25" customHeight="1">
      <c r="A59" s="146" t="s">
        <v>473</v>
      </c>
      <c r="B59" s="84">
        <v>3382</v>
      </c>
      <c r="C59" s="28">
        <v>2274</v>
      </c>
      <c r="D59" s="84">
        <v>2274</v>
      </c>
      <c r="E59" s="84">
        <f t="shared" si="0"/>
        <v>-1108</v>
      </c>
      <c r="F59" s="147" t="s">
        <v>740</v>
      </c>
      <c r="G59" s="128"/>
      <c r="H59" s="128"/>
    </row>
    <row r="60" spans="1:8" ht="93" customHeight="1">
      <c r="A60" s="157" t="s">
        <v>24</v>
      </c>
      <c r="B60" s="28">
        <v>141</v>
      </c>
      <c r="C60" s="28">
        <v>183</v>
      </c>
      <c r="D60" s="28">
        <v>183</v>
      </c>
      <c r="E60" s="84">
        <f t="shared" si="0"/>
        <v>42</v>
      </c>
      <c r="F60" s="147" t="s">
        <v>741</v>
      </c>
      <c r="G60" s="128"/>
      <c r="H60" s="128"/>
    </row>
    <row r="61" spans="1:8" ht="91.5" customHeight="1">
      <c r="A61" s="158" t="s">
        <v>742</v>
      </c>
      <c r="B61" s="28">
        <v>64</v>
      </c>
      <c r="C61" s="28">
        <v>61</v>
      </c>
      <c r="D61" s="28">
        <v>61</v>
      </c>
      <c r="E61" s="84">
        <f t="shared" si="0"/>
        <v>-3</v>
      </c>
      <c r="F61" s="147" t="s">
        <v>743</v>
      </c>
      <c r="G61" s="128"/>
      <c r="H61" s="128"/>
    </row>
    <row r="62" spans="1:8" ht="76.5" customHeight="1">
      <c r="A62" s="146" t="s">
        <v>34</v>
      </c>
      <c r="B62" s="28">
        <v>4058</v>
      </c>
      <c r="C62" s="28">
        <v>2616.6</v>
      </c>
      <c r="D62" s="28">
        <v>2910</v>
      </c>
      <c r="E62" s="84">
        <f t="shared" si="0"/>
        <v>-1148</v>
      </c>
      <c r="F62" s="147" t="s">
        <v>745</v>
      </c>
      <c r="G62" s="128"/>
      <c r="H62" s="128"/>
    </row>
    <row r="63" spans="1:8" ht="20.25" customHeight="1" thickBot="1">
      <c r="A63" s="159" t="s">
        <v>6</v>
      </c>
      <c r="B63" s="160"/>
      <c r="C63" s="160"/>
      <c r="D63" s="160"/>
      <c r="E63" s="161">
        <f>SUM(E13:E62)</f>
        <v>1.0004441719502211E-11</v>
      </c>
      <c r="F63" s="162"/>
      <c r="G63" s="128"/>
      <c r="H63" s="128"/>
    </row>
    <row r="64" spans="1:8" ht="15.75" customHeight="1">
      <c r="G64" s="128"/>
      <c r="H64" s="128"/>
    </row>
    <row r="65" spans="1:14" ht="33" customHeight="1">
      <c r="A65" s="229" t="s">
        <v>751</v>
      </c>
      <c r="B65" s="229"/>
      <c r="C65" s="229"/>
      <c r="D65" s="229"/>
      <c r="E65" s="229"/>
      <c r="F65" s="229"/>
      <c r="G65" s="127"/>
      <c r="H65" s="127"/>
      <c r="I65" s="127"/>
      <c r="J65" s="127"/>
      <c r="K65" s="127"/>
      <c r="L65" s="127"/>
      <c r="M65" s="128"/>
      <c r="N65" s="128"/>
    </row>
    <row r="66" spans="1:14" ht="5.25" customHeight="1">
      <c r="A66" s="210"/>
      <c r="B66" s="210"/>
      <c r="C66" s="210"/>
      <c r="D66" s="210"/>
      <c r="E66" s="210"/>
      <c r="F66" s="210"/>
      <c r="G66" s="128"/>
      <c r="H66" s="128"/>
    </row>
    <row r="67" spans="1:14" ht="15.75" customHeight="1">
      <c r="A67" s="221" t="s">
        <v>757</v>
      </c>
      <c r="B67" s="221"/>
      <c r="C67" s="221"/>
      <c r="D67" s="221"/>
      <c r="E67" s="221"/>
      <c r="F67" s="221"/>
    </row>
    <row r="68" spans="1:14" ht="18" hidden="1" customHeight="1">
      <c r="A68" s="210"/>
      <c r="B68" s="210"/>
      <c r="C68" s="210"/>
      <c r="D68" s="210"/>
      <c r="E68" s="210"/>
      <c r="F68" s="210"/>
    </row>
    <row r="69" spans="1:14" ht="18.75" hidden="1" customHeight="1">
      <c r="A69" s="221"/>
      <c r="B69" s="221"/>
      <c r="C69" s="221"/>
      <c r="D69" s="221"/>
      <c r="E69" s="221"/>
      <c r="F69" s="221"/>
      <c r="G69" s="128"/>
      <c r="H69" s="128"/>
    </row>
    <row r="70" spans="1:14" ht="15.75" hidden="1" customHeight="1">
      <c r="A70" s="221"/>
      <c r="B70" s="221"/>
      <c r="C70" s="221"/>
      <c r="D70" s="221"/>
      <c r="E70" s="221"/>
      <c r="F70" s="221"/>
      <c r="G70" s="128"/>
      <c r="H70" s="128"/>
    </row>
    <row r="71" spans="1:14" ht="30" customHeight="1">
      <c r="A71" s="222" t="s">
        <v>279</v>
      </c>
      <c r="B71" s="222"/>
      <c r="C71" s="222"/>
      <c r="D71" s="222"/>
      <c r="E71" s="222"/>
      <c r="F71" s="222"/>
    </row>
    <row r="72" spans="1:14" ht="22.5" customHeight="1">
      <c r="A72" s="217" t="s">
        <v>747</v>
      </c>
      <c r="B72" s="217"/>
      <c r="C72" s="217"/>
      <c r="D72" s="217"/>
      <c r="E72" s="217"/>
      <c r="F72" s="217"/>
    </row>
    <row r="73" spans="1:14" ht="18.75" customHeight="1">
      <c r="A73" s="213" t="s">
        <v>123</v>
      </c>
      <c r="B73" s="213"/>
      <c r="C73" s="213"/>
      <c r="D73" s="213"/>
      <c r="E73" s="213"/>
      <c r="F73" s="213"/>
    </row>
    <row r="74" spans="1:14" ht="17.25" customHeight="1">
      <c r="A74" s="230" t="s">
        <v>39</v>
      </c>
      <c r="B74" s="230"/>
      <c r="C74" s="230"/>
      <c r="D74" s="230"/>
      <c r="E74" s="230"/>
      <c r="F74" s="230"/>
    </row>
    <row r="75" spans="1:14" s="86" customFormat="1" ht="68.25" customHeight="1">
      <c r="A75" s="217" t="s">
        <v>436</v>
      </c>
      <c r="B75" s="217"/>
      <c r="C75" s="217"/>
      <c r="D75" s="217"/>
      <c r="E75" s="217"/>
      <c r="F75" s="217"/>
      <c r="G75" s="86">
        <v>-102260.882</v>
      </c>
    </row>
    <row r="76" spans="1:14" s="86" customFormat="1" ht="64.5" customHeight="1">
      <c r="A76" s="217" t="s">
        <v>428</v>
      </c>
      <c r="B76" s="217"/>
      <c r="C76" s="217"/>
      <c r="D76" s="217"/>
      <c r="E76" s="217"/>
      <c r="F76" s="217"/>
      <c r="G76" s="86">
        <v>-29968.906790000001</v>
      </c>
    </row>
    <row r="77" spans="1:14" s="86" customFormat="1" ht="55.5" customHeight="1">
      <c r="A77" s="217" t="s">
        <v>360</v>
      </c>
      <c r="B77" s="217"/>
      <c r="C77" s="217"/>
      <c r="D77" s="217"/>
      <c r="E77" s="217"/>
      <c r="F77" s="217"/>
      <c r="G77" s="86">
        <v>-4673.9690000000001</v>
      </c>
    </row>
    <row r="78" spans="1:14" s="86" customFormat="1" ht="33" customHeight="1">
      <c r="A78" s="217" t="s">
        <v>363</v>
      </c>
      <c r="B78" s="217"/>
      <c r="C78" s="217"/>
      <c r="D78" s="217"/>
      <c r="E78" s="217"/>
      <c r="F78" s="217"/>
      <c r="G78" s="86">
        <v>-373.04955000000001</v>
      </c>
    </row>
    <row r="79" spans="1:14" s="101" customFormat="1" ht="33" customHeight="1">
      <c r="A79" s="217" t="s">
        <v>688</v>
      </c>
      <c r="B79" s="217"/>
      <c r="C79" s="217"/>
      <c r="D79" s="217"/>
      <c r="E79" s="217"/>
      <c r="F79" s="217"/>
      <c r="G79" s="101">
        <v>-97440.343420000005</v>
      </c>
    </row>
    <row r="80" spans="1:14" s="86" customFormat="1" ht="36" customHeight="1">
      <c r="A80" s="217" t="s">
        <v>429</v>
      </c>
      <c r="B80" s="217"/>
      <c r="C80" s="217"/>
      <c r="D80" s="217"/>
      <c r="E80" s="217"/>
      <c r="F80" s="217"/>
      <c r="G80" s="86">
        <v>-720</v>
      </c>
    </row>
    <row r="81" spans="1:8" s="101" customFormat="1" ht="17.25" customHeight="1">
      <c r="A81" s="217" t="s">
        <v>583</v>
      </c>
      <c r="B81" s="217"/>
      <c r="C81" s="217"/>
      <c r="D81" s="217"/>
      <c r="E81" s="217"/>
      <c r="F81" s="217"/>
      <c r="G81" s="101">
        <v>-11.2</v>
      </c>
    </row>
    <row r="82" spans="1:8" s="100" customFormat="1" ht="36" customHeight="1">
      <c r="A82" s="231" t="s">
        <v>584</v>
      </c>
      <c r="B82" s="231"/>
      <c r="C82" s="231"/>
      <c r="D82" s="231"/>
      <c r="E82" s="231"/>
      <c r="F82" s="231"/>
      <c r="G82" s="100">
        <v>-122510.2</v>
      </c>
    </row>
    <row r="83" spans="1:8" s="100" customFormat="1" ht="19.5" customHeight="1">
      <c r="A83" s="231" t="s">
        <v>530</v>
      </c>
      <c r="B83" s="231"/>
      <c r="C83" s="231"/>
      <c r="D83" s="231"/>
      <c r="E83" s="231"/>
      <c r="F83" s="231"/>
      <c r="G83" s="100">
        <v>-211.7</v>
      </c>
      <c r="H83" s="103"/>
    </row>
    <row r="84" spans="1:8" ht="17.25" customHeight="1">
      <c r="A84" s="230" t="s">
        <v>89</v>
      </c>
      <c r="B84" s="230"/>
      <c r="C84" s="230"/>
      <c r="D84" s="230"/>
      <c r="E84" s="230"/>
      <c r="F84" s="230"/>
    </row>
    <row r="85" spans="1:8" s="86" customFormat="1" ht="15.75" customHeight="1">
      <c r="A85" s="217" t="s">
        <v>328</v>
      </c>
      <c r="B85" s="217"/>
      <c r="C85" s="217"/>
      <c r="D85" s="217"/>
      <c r="E85" s="217"/>
      <c r="F85" s="217"/>
      <c r="G85" s="86">
        <v>-7532</v>
      </c>
    </row>
    <row r="86" spans="1:8" s="86" customFormat="1" ht="33.75" customHeight="1">
      <c r="A86" s="217" t="s">
        <v>586</v>
      </c>
      <c r="B86" s="217"/>
      <c r="C86" s="217"/>
      <c r="D86" s="217"/>
      <c r="E86" s="217"/>
      <c r="F86" s="217"/>
      <c r="G86" s="86">
        <v>-71</v>
      </c>
    </row>
    <row r="87" spans="1:8" s="86" customFormat="1" ht="33" customHeight="1">
      <c r="A87" s="217" t="s">
        <v>587</v>
      </c>
      <c r="B87" s="217"/>
      <c r="C87" s="217"/>
      <c r="D87" s="217"/>
      <c r="E87" s="217"/>
      <c r="F87" s="217"/>
      <c r="G87" s="86">
        <v>-78</v>
      </c>
    </row>
    <row r="88" spans="1:8" s="86" customFormat="1" ht="48.75" customHeight="1">
      <c r="A88" s="217" t="s">
        <v>585</v>
      </c>
      <c r="B88" s="217"/>
      <c r="C88" s="217"/>
      <c r="D88" s="217"/>
      <c r="E88" s="217"/>
      <c r="F88" s="217"/>
      <c r="G88" s="86">
        <v>-1242</v>
      </c>
    </row>
    <row r="89" spans="1:8" s="86" customFormat="1" ht="35.25" customHeight="1">
      <c r="A89" s="217" t="s">
        <v>620</v>
      </c>
      <c r="B89" s="217"/>
      <c r="C89" s="217"/>
      <c r="D89" s="217"/>
      <c r="E89" s="217"/>
      <c r="F89" s="217"/>
      <c r="G89" s="86">
        <v>-2039</v>
      </c>
    </row>
    <row r="90" spans="1:8" s="98" customFormat="1" ht="50.25" customHeight="1">
      <c r="A90" s="231" t="s">
        <v>529</v>
      </c>
      <c r="B90" s="231"/>
      <c r="C90" s="231"/>
      <c r="D90" s="231"/>
      <c r="E90" s="231"/>
      <c r="F90" s="231"/>
      <c r="G90" s="98">
        <v>-70</v>
      </c>
    </row>
    <row r="91" spans="1:8" ht="21.75" customHeight="1">
      <c r="A91" s="230" t="s">
        <v>440</v>
      </c>
      <c r="B91" s="230"/>
      <c r="C91" s="230"/>
      <c r="D91" s="230"/>
      <c r="E91" s="230"/>
      <c r="F91" s="230"/>
    </row>
    <row r="92" spans="1:8" s="86" customFormat="1" ht="33.75" customHeight="1">
      <c r="A92" s="217" t="s">
        <v>443</v>
      </c>
      <c r="B92" s="217"/>
      <c r="C92" s="217"/>
      <c r="D92" s="217"/>
      <c r="E92" s="217"/>
      <c r="F92" s="217"/>
      <c r="G92" s="86">
        <v>-924.68499999999995</v>
      </c>
    </row>
    <row r="93" spans="1:8" ht="21.75" customHeight="1">
      <c r="A93" s="230" t="s">
        <v>91</v>
      </c>
      <c r="B93" s="230"/>
      <c r="C93" s="230"/>
      <c r="D93" s="230"/>
      <c r="E93" s="230"/>
      <c r="F93" s="230"/>
    </row>
    <row r="94" spans="1:8" s="86" customFormat="1" ht="33.75" customHeight="1">
      <c r="A94" s="217" t="s">
        <v>332</v>
      </c>
      <c r="B94" s="217"/>
      <c r="C94" s="217"/>
      <c r="D94" s="217"/>
      <c r="E94" s="217"/>
      <c r="F94" s="217"/>
      <c r="G94" s="86">
        <v>-9000</v>
      </c>
    </row>
    <row r="95" spans="1:8" s="86" customFormat="1" ht="33" customHeight="1">
      <c r="A95" s="217" t="s">
        <v>533</v>
      </c>
      <c r="B95" s="217"/>
      <c r="C95" s="217"/>
      <c r="D95" s="217"/>
      <c r="E95" s="217"/>
      <c r="F95" s="217"/>
      <c r="G95" s="86">
        <v>-18.3</v>
      </c>
    </row>
    <row r="96" spans="1:8" s="86" customFormat="1" ht="16.5" customHeight="1">
      <c r="A96" s="217" t="s">
        <v>527</v>
      </c>
      <c r="B96" s="217"/>
      <c r="C96" s="217"/>
      <c r="D96" s="217"/>
      <c r="E96" s="217"/>
      <c r="F96" s="217"/>
      <c r="G96" s="86">
        <v>-1147</v>
      </c>
    </row>
    <row r="97" spans="1:8" s="86" customFormat="1" ht="16.5" customHeight="1">
      <c r="A97" s="217" t="s">
        <v>515</v>
      </c>
      <c r="B97" s="217"/>
      <c r="C97" s="217"/>
      <c r="D97" s="217"/>
      <c r="E97" s="217"/>
      <c r="F97" s="217"/>
      <c r="G97" s="86">
        <v>-439</v>
      </c>
    </row>
    <row r="98" spans="1:8" s="86" customFormat="1" ht="17.25" customHeight="1">
      <c r="A98" s="217" t="s">
        <v>444</v>
      </c>
      <c r="B98" s="217"/>
      <c r="C98" s="217"/>
      <c r="D98" s="217"/>
      <c r="E98" s="217"/>
      <c r="F98" s="217"/>
      <c r="G98" s="86">
        <v>-6</v>
      </c>
    </row>
    <row r="99" spans="1:8" s="86" customFormat="1" ht="16.5" customHeight="1">
      <c r="A99" s="217" t="s">
        <v>520</v>
      </c>
      <c r="B99" s="217"/>
      <c r="C99" s="217"/>
      <c r="D99" s="217"/>
      <c r="E99" s="217"/>
      <c r="F99" s="217"/>
      <c r="G99" s="86">
        <v>-671</v>
      </c>
    </row>
    <row r="100" spans="1:8" s="86" customFormat="1" ht="16.5" customHeight="1">
      <c r="A100" s="217" t="s">
        <v>522</v>
      </c>
      <c r="B100" s="217"/>
      <c r="C100" s="217"/>
      <c r="D100" s="217"/>
      <c r="E100" s="217"/>
      <c r="F100" s="217"/>
      <c r="G100" s="86">
        <v>-14.8</v>
      </c>
    </row>
    <row r="101" spans="1:8" s="86" customFormat="1" ht="33" customHeight="1">
      <c r="A101" s="217" t="s">
        <v>525</v>
      </c>
      <c r="B101" s="217"/>
      <c r="C101" s="217"/>
      <c r="D101" s="217"/>
      <c r="E101" s="217"/>
      <c r="F101" s="217"/>
      <c r="G101" s="86">
        <v>-254.4</v>
      </c>
    </row>
    <row r="102" spans="1:8" s="86" customFormat="1" ht="33" customHeight="1">
      <c r="A102" s="217" t="s">
        <v>532</v>
      </c>
      <c r="B102" s="217"/>
      <c r="C102" s="217"/>
      <c r="D102" s="217"/>
      <c r="E102" s="217"/>
      <c r="F102" s="217"/>
      <c r="G102" s="86">
        <v>-628.9</v>
      </c>
    </row>
    <row r="103" spans="1:8" s="86" customFormat="1" ht="33" customHeight="1">
      <c r="A103" s="217" t="s">
        <v>588</v>
      </c>
      <c r="B103" s="217"/>
      <c r="C103" s="217"/>
      <c r="D103" s="217"/>
      <c r="E103" s="217"/>
      <c r="F103" s="217"/>
      <c r="G103" s="86">
        <v>-2</v>
      </c>
    </row>
    <row r="104" spans="1:8" s="86" customFormat="1" ht="18.75" customHeight="1">
      <c r="A104" s="217" t="s">
        <v>435</v>
      </c>
      <c r="B104" s="217"/>
      <c r="C104" s="217"/>
      <c r="D104" s="217"/>
      <c r="E104" s="217"/>
      <c r="F104" s="217"/>
      <c r="G104" s="86">
        <v>-1.4171499999999999</v>
      </c>
    </row>
    <row r="105" spans="1:8" ht="21" customHeight="1">
      <c r="A105" s="217" t="s">
        <v>516</v>
      </c>
      <c r="B105" s="217"/>
      <c r="C105" s="217"/>
      <c r="D105" s="217"/>
      <c r="E105" s="217"/>
      <c r="F105" s="217"/>
      <c r="G105" s="86">
        <v>-1</v>
      </c>
      <c r="H105" s="101"/>
    </row>
    <row r="106" spans="1:8" s="101" customFormat="1" ht="21" customHeight="1">
      <c r="A106" s="217" t="s">
        <v>518</v>
      </c>
      <c r="B106" s="217"/>
      <c r="C106" s="217"/>
      <c r="D106" s="217"/>
      <c r="E106" s="217"/>
      <c r="F106" s="217"/>
      <c r="G106" s="101">
        <v>-117.4</v>
      </c>
    </row>
    <row r="107" spans="1:8" s="101" customFormat="1" ht="17.25" customHeight="1">
      <c r="A107" s="217" t="s">
        <v>528</v>
      </c>
      <c r="B107" s="217"/>
      <c r="C107" s="217"/>
      <c r="D107" s="217"/>
      <c r="E107" s="217"/>
      <c r="F107" s="217"/>
      <c r="G107" s="101">
        <v>-306.3</v>
      </c>
    </row>
    <row r="108" spans="1:8" s="101" customFormat="1" ht="33.75" customHeight="1">
      <c r="A108" s="217" t="s">
        <v>519</v>
      </c>
      <c r="B108" s="217"/>
      <c r="C108" s="217"/>
      <c r="D108" s="217"/>
      <c r="E108" s="217"/>
      <c r="F108" s="217"/>
      <c r="G108" s="101">
        <v>-418.5</v>
      </c>
    </row>
    <row r="109" spans="1:8" ht="33.75" customHeight="1">
      <c r="A109" s="217" t="s">
        <v>521</v>
      </c>
      <c r="B109" s="217"/>
      <c r="C109" s="217"/>
      <c r="D109" s="217"/>
      <c r="E109" s="217"/>
      <c r="F109" s="217"/>
      <c r="G109" s="101">
        <v>-48</v>
      </c>
      <c r="H109" s="102"/>
    </row>
    <row r="110" spans="1:8" ht="37.5" customHeight="1">
      <c r="A110" s="217" t="s">
        <v>589</v>
      </c>
      <c r="B110" s="217"/>
      <c r="C110" s="217"/>
      <c r="D110" s="217"/>
      <c r="E110" s="217"/>
      <c r="F110" s="217"/>
      <c r="G110" s="101">
        <v>-1500</v>
      </c>
    </row>
    <row r="111" spans="1:8" s="98" customFormat="1" ht="21" customHeight="1">
      <c r="A111" s="231" t="s">
        <v>514</v>
      </c>
      <c r="B111" s="231"/>
      <c r="C111" s="231"/>
      <c r="D111" s="231"/>
      <c r="E111" s="231"/>
      <c r="F111" s="231"/>
      <c r="G111" s="98">
        <v>-11000</v>
      </c>
      <c r="H111" s="99"/>
    </row>
    <row r="112" spans="1:8" ht="21.75" customHeight="1">
      <c r="A112" s="230" t="s">
        <v>94</v>
      </c>
      <c r="B112" s="230"/>
      <c r="C112" s="230"/>
      <c r="D112" s="230"/>
      <c r="E112" s="230"/>
      <c r="F112" s="230"/>
    </row>
    <row r="113" spans="1:7" s="86" customFormat="1" ht="33.75" customHeight="1">
      <c r="A113" s="217" t="s">
        <v>430</v>
      </c>
      <c r="B113" s="217"/>
      <c r="C113" s="217"/>
      <c r="D113" s="217"/>
      <c r="E113" s="217"/>
      <c r="F113" s="217"/>
      <c r="G113" s="86">
        <v>-5.6</v>
      </c>
    </row>
    <row r="114" spans="1:7" ht="18" customHeight="1">
      <c r="A114" s="230" t="s">
        <v>340</v>
      </c>
      <c r="B114" s="230"/>
      <c r="C114" s="230"/>
      <c r="D114" s="230"/>
      <c r="E114" s="230"/>
      <c r="F114" s="230"/>
    </row>
    <row r="115" spans="1:7" s="86" customFormat="1" ht="32.25" customHeight="1">
      <c r="A115" s="217" t="s">
        <v>590</v>
      </c>
      <c r="B115" s="217"/>
      <c r="C115" s="217"/>
      <c r="D115" s="217"/>
      <c r="E115" s="217"/>
      <c r="F115" s="217"/>
      <c r="G115" s="86">
        <v>-7</v>
      </c>
    </row>
    <row r="116" spans="1:7" ht="21.75" customHeight="1">
      <c r="A116" s="223" t="s">
        <v>32</v>
      </c>
      <c r="B116" s="223"/>
      <c r="C116" s="223"/>
      <c r="D116" s="223"/>
      <c r="E116" s="223"/>
      <c r="F116" s="223"/>
    </row>
    <row r="117" spans="1:7" ht="17.25" customHeight="1">
      <c r="A117" s="230" t="s">
        <v>39</v>
      </c>
      <c r="B117" s="230"/>
      <c r="C117" s="230"/>
      <c r="D117" s="230"/>
      <c r="E117" s="230"/>
      <c r="F117" s="230"/>
    </row>
    <row r="118" spans="1:7" s="86" customFormat="1" ht="36.75" customHeight="1">
      <c r="A118" s="217" t="s">
        <v>362</v>
      </c>
      <c r="B118" s="217"/>
      <c r="C118" s="217"/>
      <c r="D118" s="217"/>
      <c r="E118" s="217"/>
      <c r="F118" s="217"/>
      <c r="G118" s="86">
        <v>139.25299999999999</v>
      </c>
    </row>
    <row r="119" spans="1:7" s="86" customFormat="1" ht="35.25" customHeight="1">
      <c r="A119" s="217" t="s">
        <v>445</v>
      </c>
      <c r="B119" s="217"/>
      <c r="C119" s="217"/>
      <c r="D119" s="217"/>
      <c r="E119" s="217"/>
      <c r="F119" s="217"/>
      <c r="G119" s="86">
        <v>7286.5</v>
      </c>
    </row>
    <row r="120" spans="1:7" s="86" customFormat="1" ht="32.25" customHeight="1">
      <c r="A120" s="217" t="s">
        <v>324</v>
      </c>
      <c r="B120" s="217"/>
      <c r="C120" s="217"/>
      <c r="D120" s="217"/>
      <c r="E120" s="217"/>
      <c r="F120" s="217"/>
      <c r="G120" s="86">
        <v>383.5</v>
      </c>
    </row>
    <row r="121" spans="1:7" s="86" customFormat="1" ht="17.25" customHeight="1">
      <c r="A121" s="217" t="s">
        <v>334</v>
      </c>
      <c r="B121" s="217"/>
      <c r="C121" s="217"/>
      <c r="D121" s="217"/>
      <c r="E121" s="217"/>
      <c r="F121" s="217"/>
      <c r="G121" s="86">
        <v>23.3</v>
      </c>
    </row>
    <row r="122" spans="1:7" s="86" customFormat="1" ht="32.25" customHeight="1">
      <c r="A122" s="217" t="s">
        <v>339</v>
      </c>
      <c r="B122" s="217"/>
      <c r="C122" s="217"/>
      <c r="D122" s="217"/>
      <c r="E122" s="217"/>
      <c r="F122" s="217"/>
      <c r="G122" s="86">
        <v>40.200000000000003</v>
      </c>
    </row>
    <row r="123" spans="1:7" s="86" customFormat="1" ht="18" customHeight="1">
      <c r="A123" s="217" t="s">
        <v>513</v>
      </c>
      <c r="B123" s="217"/>
      <c r="C123" s="217"/>
      <c r="D123" s="217"/>
      <c r="E123" s="217"/>
      <c r="F123" s="217"/>
      <c r="G123" s="86">
        <v>1508</v>
      </c>
    </row>
    <row r="124" spans="1:7" ht="31.5" customHeight="1">
      <c r="A124" s="217" t="s">
        <v>689</v>
      </c>
      <c r="B124" s="217"/>
      <c r="C124" s="217"/>
      <c r="D124" s="217"/>
      <c r="E124" s="217"/>
      <c r="F124" s="217"/>
      <c r="G124" s="5">
        <v>41999.999989999997</v>
      </c>
    </row>
    <row r="125" spans="1:7" ht="69.75" customHeight="1">
      <c r="A125" s="217" t="s">
        <v>687</v>
      </c>
      <c r="B125" s="217"/>
      <c r="C125" s="217"/>
      <c r="D125" s="217"/>
      <c r="E125" s="217"/>
      <c r="F125" s="217"/>
      <c r="G125" s="86">
        <v>4.8000000000000001E-2</v>
      </c>
    </row>
    <row r="126" spans="1:7" ht="52.5" customHeight="1">
      <c r="A126" s="217" t="s">
        <v>690</v>
      </c>
      <c r="B126" s="217"/>
      <c r="C126" s="217"/>
      <c r="D126" s="217"/>
      <c r="E126" s="217"/>
      <c r="F126" s="217"/>
      <c r="G126" s="86"/>
    </row>
    <row r="127" spans="1:7" ht="17.25" customHeight="1">
      <c r="A127" s="230" t="s">
        <v>89</v>
      </c>
      <c r="B127" s="230"/>
      <c r="C127" s="230"/>
      <c r="D127" s="230"/>
      <c r="E127" s="230"/>
      <c r="F127" s="230"/>
    </row>
    <row r="128" spans="1:7" s="86" customFormat="1" ht="15.75" customHeight="1">
      <c r="A128" s="217" t="s">
        <v>517</v>
      </c>
      <c r="B128" s="217"/>
      <c r="C128" s="217"/>
      <c r="D128" s="217"/>
      <c r="E128" s="217"/>
      <c r="F128" s="217"/>
      <c r="G128" s="86">
        <v>513</v>
      </c>
    </row>
    <row r="129" spans="1:7" s="86" customFormat="1" ht="48" customHeight="1">
      <c r="A129" s="217" t="s">
        <v>431</v>
      </c>
      <c r="B129" s="217"/>
      <c r="C129" s="217"/>
      <c r="D129" s="217"/>
      <c r="E129" s="217"/>
      <c r="F129" s="217"/>
      <c r="G129" s="86">
        <v>11397</v>
      </c>
    </row>
    <row r="130" spans="1:7" s="86" customFormat="1" ht="31.5" customHeight="1">
      <c r="A130" s="217" t="s">
        <v>432</v>
      </c>
      <c r="B130" s="217"/>
      <c r="C130" s="217"/>
      <c r="D130" s="217"/>
      <c r="E130" s="217"/>
      <c r="F130" s="217"/>
      <c r="G130" s="86">
        <v>13669.4</v>
      </c>
    </row>
    <row r="131" spans="1:7" s="86" customFormat="1" ht="31.5" customHeight="1">
      <c r="A131" s="217" t="s">
        <v>433</v>
      </c>
      <c r="B131" s="217"/>
      <c r="C131" s="217"/>
      <c r="D131" s="217"/>
      <c r="E131" s="217"/>
      <c r="F131" s="217"/>
      <c r="G131" s="86">
        <v>1632</v>
      </c>
    </row>
    <row r="132" spans="1:7" s="86" customFormat="1" ht="31.5" customHeight="1">
      <c r="A132" s="217" t="s">
        <v>434</v>
      </c>
      <c r="B132" s="217"/>
      <c r="C132" s="217"/>
      <c r="D132" s="217"/>
      <c r="E132" s="217"/>
      <c r="F132" s="217"/>
      <c r="G132" s="86">
        <v>160</v>
      </c>
    </row>
    <row r="133" spans="1:7" s="86" customFormat="1" ht="48.75" customHeight="1">
      <c r="A133" s="217" t="s">
        <v>354</v>
      </c>
      <c r="B133" s="217"/>
      <c r="C133" s="217"/>
      <c r="D133" s="217"/>
      <c r="E133" s="217"/>
      <c r="F133" s="217"/>
      <c r="G133" s="86">
        <v>189.9</v>
      </c>
    </row>
    <row r="134" spans="1:7" s="86" customFormat="1" ht="15.75" customHeight="1">
      <c r="A134" s="217" t="s">
        <v>367</v>
      </c>
      <c r="B134" s="217"/>
      <c r="C134" s="217"/>
      <c r="D134" s="217"/>
      <c r="E134" s="217"/>
      <c r="F134" s="217"/>
      <c r="G134" s="86">
        <v>100</v>
      </c>
    </row>
    <row r="135" spans="1:7" s="86" customFormat="1" ht="20.25" customHeight="1">
      <c r="A135" s="217" t="s">
        <v>369</v>
      </c>
      <c r="B135" s="217"/>
      <c r="C135" s="217"/>
      <c r="D135" s="217"/>
      <c r="E135" s="217"/>
      <c r="F135" s="217"/>
      <c r="G135" s="86">
        <v>269.10000000000002</v>
      </c>
    </row>
    <row r="136" spans="1:7" s="86" customFormat="1" ht="15.75" customHeight="1">
      <c r="A136" s="217" t="s">
        <v>373</v>
      </c>
      <c r="B136" s="217"/>
      <c r="C136" s="217"/>
      <c r="D136" s="217"/>
      <c r="E136" s="217"/>
      <c r="F136" s="217"/>
      <c r="G136" s="86">
        <v>385.1</v>
      </c>
    </row>
    <row r="137" spans="1:7" s="86" customFormat="1" ht="20.25" customHeight="1">
      <c r="A137" s="217" t="s">
        <v>370</v>
      </c>
      <c r="B137" s="217"/>
      <c r="C137" s="217"/>
      <c r="D137" s="217"/>
      <c r="E137" s="217"/>
      <c r="F137" s="217"/>
      <c r="G137" s="86">
        <v>1</v>
      </c>
    </row>
    <row r="138" spans="1:7" s="97" customFormat="1" ht="17.25" customHeight="1">
      <c r="A138" s="230" t="s">
        <v>340</v>
      </c>
      <c r="B138" s="230"/>
      <c r="C138" s="230"/>
      <c r="D138" s="230"/>
      <c r="E138" s="230"/>
      <c r="F138" s="230"/>
    </row>
    <row r="139" spans="1:7" s="86" customFormat="1" ht="37.5" customHeight="1">
      <c r="A139" s="217" t="s">
        <v>512</v>
      </c>
      <c r="B139" s="217"/>
      <c r="C139" s="217"/>
      <c r="D139" s="217"/>
      <c r="E139" s="217"/>
      <c r="F139" s="217"/>
      <c r="G139" s="86">
        <v>210</v>
      </c>
    </row>
    <row r="140" spans="1:7" s="86" customFormat="1" ht="21.75" customHeight="1">
      <c r="A140" s="217" t="s">
        <v>352</v>
      </c>
      <c r="B140" s="217"/>
      <c r="C140" s="217"/>
      <c r="D140" s="217"/>
      <c r="E140" s="217"/>
      <c r="F140" s="217"/>
      <c r="G140" s="86">
        <v>80</v>
      </c>
    </row>
    <row r="141" spans="1:7" s="86" customFormat="1" ht="51" customHeight="1">
      <c r="A141" s="217" t="s">
        <v>355</v>
      </c>
      <c r="B141" s="217"/>
      <c r="C141" s="217"/>
      <c r="D141" s="217"/>
      <c r="E141" s="217"/>
      <c r="F141" s="217"/>
      <c r="G141" s="86">
        <v>20.3</v>
      </c>
    </row>
    <row r="142" spans="1:7" ht="21.75" customHeight="1">
      <c r="A142" s="230" t="s">
        <v>91</v>
      </c>
      <c r="B142" s="230"/>
      <c r="C142" s="230"/>
      <c r="D142" s="230"/>
      <c r="E142" s="230"/>
      <c r="F142" s="230"/>
    </row>
    <row r="143" spans="1:7" ht="33.75" customHeight="1">
      <c r="A143" s="217" t="s">
        <v>626</v>
      </c>
      <c r="B143" s="217"/>
      <c r="C143" s="217"/>
      <c r="D143" s="217"/>
      <c r="E143" s="217"/>
      <c r="F143" s="217"/>
      <c r="G143" s="86">
        <f>1298.725+5827</f>
        <v>7125.7250000000004</v>
      </c>
    </row>
    <row r="144" spans="1:7" s="86" customFormat="1" ht="33" customHeight="1">
      <c r="A144" s="217" t="s">
        <v>446</v>
      </c>
      <c r="B144" s="217"/>
      <c r="C144" s="217"/>
      <c r="D144" s="217"/>
      <c r="E144" s="217"/>
      <c r="F144" s="217"/>
      <c r="G144" s="86">
        <f>2254.2+2327.6</f>
        <v>4581.7999999999993</v>
      </c>
    </row>
    <row r="145" spans="1:10" s="86" customFormat="1" ht="20.25" customHeight="1">
      <c r="A145" s="217" t="s">
        <v>524</v>
      </c>
      <c r="B145" s="217"/>
      <c r="C145" s="217"/>
      <c r="D145" s="217"/>
      <c r="E145" s="217"/>
      <c r="F145" s="217"/>
      <c r="G145" s="86">
        <v>2</v>
      </c>
    </row>
    <row r="146" spans="1:10" s="86" customFormat="1" ht="36" customHeight="1">
      <c r="A146" s="217" t="s">
        <v>447</v>
      </c>
      <c r="B146" s="217"/>
      <c r="C146" s="217"/>
      <c r="D146" s="217"/>
      <c r="E146" s="217"/>
      <c r="F146" s="217"/>
      <c r="G146" s="86">
        <v>977.6</v>
      </c>
    </row>
    <row r="147" spans="1:10" s="98" customFormat="1" ht="31.5" customHeight="1">
      <c r="A147" s="231" t="s">
        <v>591</v>
      </c>
      <c r="B147" s="231"/>
      <c r="C147" s="231"/>
      <c r="D147" s="231"/>
      <c r="E147" s="231"/>
      <c r="F147" s="231"/>
      <c r="G147" s="98">
        <v>3581.6</v>
      </c>
      <c r="H147" s="107"/>
    </row>
    <row r="148" spans="1:10" ht="36" customHeight="1">
      <c r="A148" s="217" t="s">
        <v>592</v>
      </c>
      <c r="B148" s="217"/>
      <c r="C148" s="217"/>
      <c r="D148" s="217"/>
      <c r="E148" s="217"/>
      <c r="F148" s="217"/>
      <c r="G148" s="86">
        <v>1868</v>
      </c>
    </row>
    <row r="149" spans="1:10" s="86" customFormat="1" ht="52.5" customHeight="1">
      <c r="A149" s="217" t="s">
        <v>351</v>
      </c>
      <c r="B149" s="217"/>
      <c r="C149" s="217"/>
      <c r="D149" s="217"/>
      <c r="E149" s="217"/>
      <c r="F149" s="217"/>
      <c r="G149" s="86">
        <v>600</v>
      </c>
    </row>
    <row r="150" spans="1:10" s="86" customFormat="1" ht="33" customHeight="1">
      <c r="A150" s="217" t="s">
        <v>531</v>
      </c>
      <c r="B150" s="217"/>
      <c r="C150" s="217"/>
      <c r="D150" s="217"/>
      <c r="E150" s="217"/>
      <c r="F150" s="217"/>
      <c r="G150" s="86">
        <v>149.14158</v>
      </c>
    </row>
    <row r="151" spans="1:10" s="98" customFormat="1" ht="33" customHeight="1">
      <c r="A151" s="231" t="s">
        <v>523</v>
      </c>
      <c r="B151" s="231"/>
      <c r="C151" s="231"/>
      <c r="D151" s="231"/>
      <c r="E151" s="231"/>
      <c r="F151" s="231"/>
      <c r="G151" s="98">
        <v>15</v>
      </c>
    </row>
    <row r="152" spans="1:10" s="98" customFormat="1" ht="21" customHeight="1">
      <c r="A152" s="231" t="s">
        <v>526</v>
      </c>
      <c r="B152" s="231"/>
      <c r="C152" s="231"/>
      <c r="D152" s="231"/>
      <c r="E152" s="231"/>
      <c r="F152" s="231"/>
      <c r="G152" s="98">
        <v>56</v>
      </c>
    </row>
    <row r="153" spans="1:10" s="86" customFormat="1" ht="23.25" customHeight="1">
      <c r="A153" s="217" t="s">
        <v>481</v>
      </c>
      <c r="B153" s="217"/>
      <c r="C153" s="217"/>
      <c r="D153" s="217"/>
      <c r="E153" s="217"/>
      <c r="F153" s="217"/>
      <c r="G153" s="86">
        <v>1250</v>
      </c>
    </row>
    <row r="154" spans="1:10" ht="12.75" customHeight="1">
      <c r="A154" s="126"/>
      <c r="B154" s="126"/>
      <c r="C154" s="126"/>
      <c r="D154" s="126"/>
      <c r="E154" s="126"/>
      <c r="F154" s="10" t="s">
        <v>7</v>
      </c>
      <c r="G154" s="43">
        <f>SUM(G73:G153)</f>
        <v>-295499.08534000011</v>
      </c>
    </row>
    <row r="155" spans="1:10" s="19" customFormat="1" ht="24" customHeight="1">
      <c r="A155" s="129" t="s">
        <v>1</v>
      </c>
      <c r="B155" s="209" t="s">
        <v>2</v>
      </c>
      <c r="C155" s="209"/>
      <c r="D155" s="129" t="s">
        <v>3</v>
      </c>
      <c r="E155" s="129" t="s">
        <v>4</v>
      </c>
      <c r="F155" s="129" t="s">
        <v>5</v>
      </c>
      <c r="I155" s="112"/>
      <c r="J155" s="112"/>
    </row>
    <row r="156" spans="1:10" s="86" customFormat="1" ht="15.75">
      <c r="A156" s="172" t="s">
        <v>31</v>
      </c>
      <c r="B156" s="136" t="s">
        <v>338</v>
      </c>
      <c r="C156" s="137"/>
      <c r="D156" s="36">
        <v>303.7</v>
      </c>
      <c r="E156" s="49">
        <v>40.200000000000003</v>
      </c>
      <c r="F156" s="35">
        <f>SUM(D156:E156)</f>
        <v>343.9</v>
      </c>
      <c r="I156" s="111">
        <v>40.200000000000003</v>
      </c>
      <c r="J156" s="111">
        <f>E156-I156</f>
        <v>0</v>
      </c>
    </row>
    <row r="157" spans="1:10" s="86" customFormat="1" ht="15.75">
      <c r="A157" s="173"/>
      <c r="B157" s="136" t="s">
        <v>420</v>
      </c>
      <c r="C157" s="137"/>
      <c r="D157" s="36">
        <v>0</v>
      </c>
      <c r="E157" s="49">
        <f>67.2+155.066+30</f>
        <v>252.26600000000002</v>
      </c>
      <c r="F157" s="35">
        <f>SUM(D157:E157)</f>
        <v>252.26600000000002</v>
      </c>
      <c r="I157" s="111"/>
      <c r="J157" s="111">
        <f t="shared" ref="J157:J223" si="1">E157-I157</f>
        <v>252.26600000000002</v>
      </c>
    </row>
    <row r="158" spans="1:10" s="86" customFormat="1" ht="15.75">
      <c r="A158" s="173"/>
      <c r="B158" s="136" t="s">
        <v>419</v>
      </c>
      <c r="C158" s="137"/>
      <c r="D158" s="36">
        <v>0</v>
      </c>
      <c r="E158" s="49">
        <f>288.834</f>
        <v>288.834</v>
      </c>
      <c r="F158" s="35">
        <f>SUM(D158:E158)</f>
        <v>288.834</v>
      </c>
      <c r="I158" s="113"/>
      <c r="J158" s="111">
        <f t="shared" si="1"/>
        <v>288.834</v>
      </c>
    </row>
    <row r="159" spans="1:10" s="86" customFormat="1" ht="15.75">
      <c r="A159" s="173"/>
      <c r="B159" s="136" t="s">
        <v>627</v>
      </c>
      <c r="C159" s="137"/>
      <c r="D159" s="36">
        <v>665.4</v>
      </c>
      <c r="E159" s="49">
        <v>-211.7</v>
      </c>
      <c r="F159" s="35">
        <f>SUM(D159:E159)</f>
        <v>453.7</v>
      </c>
      <c r="I159" s="113">
        <v>-211.7</v>
      </c>
      <c r="J159" s="111">
        <f t="shared" si="1"/>
        <v>0</v>
      </c>
    </row>
    <row r="160" spans="1:10" s="86" customFormat="1" ht="15.75">
      <c r="A160" s="173"/>
      <c r="B160" s="136" t="s">
        <v>628</v>
      </c>
      <c r="C160" s="137"/>
      <c r="D160" s="36">
        <v>425071.2</v>
      </c>
      <c r="E160" s="49">
        <v>-122510.2</v>
      </c>
      <c r="F160" s="35">
        <f>SUM(D160:E160)</f>
        <v>302561</v>
      </c>
      <c r="I160" s="113">
        <v>-122510.2</v>
      </c>
      <c r="J160" s="111">
        <f t="shared" si="1"/>
        <v>0</v>
      </c>
    </row>
    <row r="161" spans="1:10" s="88" customFormat="1" ht="15" customHeight="1">
      <c r="A161" s="173"/>
      <c r="B161" s="219" t="s">
        <v>286</v>
      </c>
      <c r="C161" s="220"/>
      <c r="D161" s="33">
        <v>263160</v>
      </c>
      <c r="E161" s="109">
        <v>-16220.071</v>
      </c>
      <c r="F161" s="35">
        <f t="shared" ref="F161:F252" si="2">SUM(D161:E161)</f>
        <v>246939.929</v>
      </c>
      <c r="I161" s="114"/>
      <c r="J161" s="111">
        <f t="shared" si="1"/>
        <v>-16220.071</v>
      </c>
    </row>
    <row r="162" spans="1:10" s="88" customFormat="1" ht="15" customHeight="1">
      <c r="A162" s="173"/>
      <c r="B162" s="219" t="s">
        <v>287</v>
      </c>
      <c r="C162" s="220"/>
      <c r="D162" s="33">
        <v>211480</v>
      </c>
      <c r="E162" s="109">
        <v>-86040.811000000002</v>
      </c>
      <c r="F162" s="35">
        <f t="shared" si="2"/>
        <v>125439.189</v>
      </c>
      <c r="I162" s="114"/>
      <c r="J162" s="111">
        <f t="shared" si="1"/>
        <v>-86040.811000000002</v>
      </c>
    </row>
    <row r="163" spans="1:10" s="88" customFormat="1" ht="15" customHeight="1">
      <c r="A163" s="173"/>
      <c r="B163" s="219" t="s">
        <v>111</v>
      </c>
      <c r="C163" s="220"/>
      <c r="D163" s="33">
        <v>26030</v>
      </c>
      <c r="E163" s="109">
        <v>-7306.9457899999998</v>
      </c>
      <c r="F163" s="35">
        <f t="shared" si="2"/>
        <v>18723.054210000002</v>
      </c>
      <c r="I163" s="114"/>
      <c r="J163" s="111">
        <f t="shared" si="1"/>
        <v>-7306.9457899999998</v>
      </c>
    </row>
    <row r="164" spans="1:10" s="88" customFormat="1" ht="15" customHeight="1">
      <c r="A164" s="173"/>
      <c r="B164" s="219" t="s">
        <v>112</v>
      </c>
      <c r="C164" s="220"/>
      <c r="D164" s="33">
        <v>305080</v>
      </c>
      <c r="E164" s="109">
        <v>-22661.960999999999</v>
      </c>
      <c r="F164" s="35">
        <f t="shared" si="2"/>
        <v>282418.03899999999</v>
      </c>
      <c r="I164" s="114"/>
      <c r="J164" s="111">
        <f t="shared" si="1"/>
        <v>-22661.960999999999</v>
      </c>
    </row>
    <row r="165" spans="1:10" s="88" customFormat="1" ht="15" customHeight="1">
      <c r="A165" s="173"/>
      <c r="B165" s="219" t="s">
        <v>361</v>
      </c>
      <c r="C165" s="220"/>
      <c r="D165" s="33">
        <v>5752</v>
      </c>
      <c r="E165" s="109">
        <v>-821.54</v>
      </c>
      <c r="F165" s="35">
        <f t="shared" si="2"/>
        <v>4930.46</v>
      </c>
      <c r="I165" s="114"/>
      <c r="J165" s="111">
        <f t="shared" si="1"/>
        <v>-821.54</v>
      </c>
    </row>
    <row r="166" spans="1:10" s="88" customFormat="1" ht="15" customHeight="1">
      <c r="A166" s="173"/>
      <c r="B166" s="219" t="s">
        <v>288</v>
      </c>
      <c r="C166" s="220"/>
      <c r="D166" s="33">
        <v>8177</v>
      </c>
      <c r="E166" s="109">
        <v>-3852.4290000000001</v>
      </c>
      <c r="F166" s="35">
        <f t="shared" si="2"/>
        <v>4324.5709999999999</v>
      </c>
      <c r="I166" s="114"/>
      <c r="J166" s="111">
        <f t="shared" si="1"/>
        <v>-3852.4290000000001</v>
      </c>
    </row>
    <row r="167" spans="1:10" s="88" customFormat="1" ht="15" customHeight="1">
      <c r="A167" s="173"/>
      <c r="B167" s="219" t="s">
        <v>113</v>
      </c>
      <c r="C167" s="220"/>
      <c r="D167" s="33">
        <v>1241</v>
      </c>
      <c r="E167" s="109">
        <v>-373.04955000000001</v>
      </c>
      <c r="F167" s="35">
        <f t="shared" si="2"/>
        <v>867.95045000000005</v>
      </c>
      <c r="I167" s="114"/>
      <c r="J167" s="111">
        <f t="shared" si="1"/>
        <v>-373.04955000000001</v>
      </c>
    </row>
    <row r="168" spans="1:10" s="88" customFormat="1" ht="15" customHeight="1">
      <c r="A168" s="173"/>
      <c r="B168" s="219" t="s">
        <v>114</v>
      </c>
      <c r="C168" s="220"/>
      <c r="D168" s="33">
        <v>16306</v>
      </c>
      <c r="E168" s="109">
        <v>139.25299999999999</v>
      </c>
      <c r="F168" s="35">
        <f t="shared" si="2"/>
        <v>16445.253000000001</v>
      </c>
      <c r="I168" s="114"/>
      <c r="J168" s="111">
        <f t="shared" si="1"/>
        <v>139.25299999999999</v>
      </c>
    </row>
    <row r="169" spans="1:10" s="88" customFormat="1" ht="15" customHeight="1">
      <c r="A169" s="173"/>
      <c r="B169" s="130" t="s">
        <v>417</v>
      </c>
      <c r="C169" s="131"/>
      <c r="D169" s="33">
        <v>0</v>
      </c>
      <c r="E169" s="109">
        <f>2422.5+4864</f>
        <v>7286.5</v>
      </c>
      <c r="F169" s="35">
        <f t="shared" si="2"/>
        <v>7286.5</v>
      </c>
      <c r="I169" s="114">
        <f>4864+2422.5</f>
        <v>7286.5</v>
      </c>
      <c r="J169" s="111">
        <f t="shared" si="1"/>
        <v>0</v>
      </c>
    </row>
    <row r="170" spans="1:10" s="88" customFormat="1" ht="15" customHeight="1">
      <c r="A170" s="173"/>
      <c r="B170" s="219" t="s">
        <v>325</v>
      </c>
      <c r="C170" s="220"/>
      <c r="D170" s="33">
        <v>0</v>
      </c>
      <c r="E170" s="109">
        <v>383.5</v>
      </c>
      <c r="F170" s="35">
        <f t="shared" si="2"/>
        <v>383.5</v>
      </c>
      <c r="I170" s="114"/>
      <c r="J170" s="111">
        <f t="shared" si="1"/>
        <v>383.5</v>
      </c>
    </row>
    <row r="171" spans="1:10" s="88" customFormat="1" ht="15" customHeight="1">
      <c r="A171" s="173"/>
      <c r="B171" s="130" t="s">
        <v>306</v>
      </c>
      <c r="C171" s="131"/>
      <c r="D171" s="34">
        <v>431112.60615000001</v>
      </c>
      <c r="E171" s="109">
        <v>41999.999989999997</v>
      </c>
      <c r="F171" s="35">
        <f t="shared" si="2"/>
        <v>473112.60613999999</v>
      </c>
      <c r="I171" s="114">
        <v>41999.999989999997</v>
      </c>
      <c r="J171" s="111">
        <f t="shared" si="1"/>
        <v>0</v>
      </c>
    </row>
    <row r="172" spans="1:10" s="88" customFormat="1" ht="15" customHeight="1">
      <c r="A172" s="173"/>
      <c r="B172" s="130" t="s">
        <v>629</v>
      </c>
      <c r="C172" s="131"/>
      <c r="D172" s="34">
        <v>668458.98337999999</v>
      </c>
      <c r="E172" s="109">
        <v>-97440.343420000005</v>
      </c>
      <c r="F172" s="35">
        <f>SUM(D172:E172)</f>
        <v>571018.63995999994</v>
      </c>
      <c r="I172" s="114">
        <v>-97440.343420000005</v>
      </c>
      <c r="J172" s="111">
        <f t="shared" si="1"/>
        <v>0</v>
      </c>
    </row>
    <row r="173" spans="1:10" s="89" customFormat="1" ht="17.25" customHeight="1">
      <c r="A173" s="173"/>
      <c r="B173" s="136" t="s">
        <v>158</v>
      </c>
      <c r="C173" s="137"/>
      <c r="D173" s="36">
        <v>720</v>
      </c>
      <c r="E173" s="49">
        <v>-720</v>
      </c>
      <c r="F173" s="35">
        <f t="shared" si="2"/>
        <v>0</v>
      </c>
      <c r="I173" s="115"/>
      <c r="J173" s="111">
        <f t="shared" si="1"/>
        <v>-720</v>
      </c>
    </row>
    <row r="174" spans="1:10" s="89" customFormat="1" ht="17.25" customHeight="1">
      <c r="A174" s="173"/>
      <c r="B174" s="136" t="s">
        <v>40</v>
      </c>
      <c r="C174" s="137"/>
      <c r="D174" s="36">
        <v>8178.5</v>
      </c>
      <c r="E174" s="49">
        <v>425</v>
      </c>
      <c r="F174" s="35">
        <f t="shared" si="2"/>
        <v>8603.5</v>
      </c>
      <c r="I174" s="115">
        <v>425</v>
      </c>
      <c r="J174" s="111">
        <f t="shared" si="1"/>
        <v>0</v>
      </c>
    </row>
    <row r="175" spans="1:10" s="89" customFormat="1" ht="17.25" customHeight="1">
      <c r="A175" s="173"/>
      <c r="B175" s="136" t="s">
        <v>301</v>
      </c>
      <c r="C175" s="137"/>
      <c r="D175" s="36">
        <v>13794</v>
      </c>
      <c r="E175" s="49">
        <v>240</v>
      </c>
      <c r="F175" s="35">
        <f t="shared" si="2"/>
        <v>14034</v>
      </c>
      <c r="I175" s="115">
        <v>240</v>
      </c>
      <c r="J175" s="111">
        <f t="shared" si="1"/>
        <v>0</v>
      </c>
    </row>
    <row r="176" spans="1:10" s="89" customFormat="1" ht="17.25" customHeight="1">
      <c r="A176" s="173"/>
      <c r="B176" s="136" t="s">
        <v>41</v>
      </c>
      <c r="C176" s="137"/>
      <c r="D176" s="36">
        <v>3334</v>
      </c>
      <c r="E176" s="49">
        <v>192</v>
      </c>
      <c r="F176" s="35">
        <f t="shared" si="2"/>
        <v>3526</v>
      </c>
      <c r="I176" s="115">
        <v>192</v>
      </c>
      <c r="J176" s="111">
        <f t="shared" si="1"/>
        <v>0</v>
      </c>
    </row>
    <row r="177" spans="1:13" s="89" customFormat="1" ht="17.25" customHeight="1">
      <c r="A177" s="173"/>
      <c r="B177" s="136" t="s">
        <v>302</v>
      </c>
      <c r="C177" s="137"/>
      <c r="D177" s="36">
        <v>11229</v>
      </c>
      <c r="E177" s="49">
        <v>651</v>
      </c>
      <c r="F177" s="35">
        <f t="shared" si="2"/>
        <v>11880</v>
      </c>
      <c r="I177" s="115">
        <v>651</v>
      </c>
      <c r="J177" s="111">
        <f t="shared" si="1"/>
        <v>0</v>
      </c>
    </row>
    <row r="178" spans="1:13" s="89" customFormat="1" ht="17.25" customHeight="1">
      <c r="A178" s="173"/>
      <c r="B178" s="136" t="s">
        <v>42</v>
      </c>
      <c r="C178" s="137"/>
      <c r="D178" s="36">
        <v>3476.9520000000002</v>
      </c>
      <c r="E178" s="49">
        <v>4.8000000000000001E-2</v>
      </c>
      <c r="F178" s="35">
        <f t="shared" si="2"/>
        <v>3477</v>
      </c>
      <c r="I178" s="115"/>
      <c r="J178" s="111"/>
    </row>
    <row r="179" spans="1:13" s="89" customFormat="1" ht="17.25" customHeight="1">
      <c r="A179" s="173"/>
      <c r="B179" s="136" t="s">
        <v>102</v>
      </c>
      <c r="C179" s="137"/>
      <c r="D179" s="36">
        <v>3408.0479999999998</v>
      </c>
      <c r="E179" s="49">
        <v>5.1999999999999998E-2</v>
      </c>
      <c r="F179" s="35">
        <f t="shared" si="2"/>
        <v>3408.1</v>
      </c>
      <c r="I179" s="115"/>
      <c r="J179" s="111"/>
    </row>
    <row r="180" spans="1:13" s="89" customFormat="1" ht="17.25" customHeight="1">
      <c r="A180" s="173"/>
      <c r="B180" s="136" t="s">
        <v>479</v>
      </c>
      <c r="C180" s="137"/>
      <c r="D180" s="36">
        <v>213</v>
      </c>
      <c r="E180" s="49">
        <v>-11.2</v>
      </c>
      <c r="F180" s="35">
        <f t="shared" si="2"/>
        <v>201.8</v>
      </c>
      <c r="I180" s="115">
        <f>-11.2</f>
        <v>-11.2</v>
      </c>
      <c r="J180" s="111">
        <f t="shared" si="1"/>
        <v>0</v>
      </c>
    </row>
    <row r="181" spans="1:13" s="89" customFormat="1" ht="17.25" customHeight="1">
      <c r="A181" s="173"/>
      <c r="B181" s="136" t="s">
        <v>336</v>
      </c>
      <c r="C181" s="137"/>
      <c r="D181" s="36">
        <v>1435</v>
      </c>
      <c r="E181" s="49">
        <v>23.3</v>
      </c>
      <c r="F181" s="35">
        <f t="shared" si="2"/>
        <v>1458.3</v>
      </c>
      <c r="I181" s="115">
        <v>23.3</v>
      </c>
      <c r="J181" s="111">
        <f t="shared" si="1"/>
        <v>0</v>
      </c>
    </row>
    <row r="182" spans="1:13" s="88" customFormat="1" ht="15" customHeight="1">
      <c r="A182" s="139" t="s">
        <v>35</v>
      </c>
      <c r="B182" s="219" t="s">
        <v>439</v>
      </c>
      <c r="C182" s="220"/>
      <c r="D182" s="33">
        <v>14733</v>
      </c>
      <c r="E182" s="34">
        <v>-924.68499999999995</v>
      </c>
      <c r="F182" s="35">
        <f>SUM(D182:E182)</f>
        <v>13808.315000000001</v>
      </c>
      <c r="I182" s="114"/>
      <c r="J182" s="111">
        <f t="shared" si="1"/>
        <v>-924.68499999999995</v>
      </c>
    </row>
    <row r="183" spans="1:13" s="87" customFormat="1" ht="15.75">
      <c r="A183" s="172" t="s">
        <v>8</v>
      </c>
      <c r="B183" s="136" t="s">
        <v>345</v>
      </c>
      <c r="C183" s="137"/>
      <c r="D183" s="39">
        <v>24933.5</v>
      </c>
      <c r="E183" s="39">
        <v>2069</v>
      </c>
      <c r="F183" s="40">
        <f t="shared" si="2"/>
        <v>27002.5</v>
      </c>
      <c r="I183" s="113">
        <v>2069</v>
      </c>
      <c r="J183" s="111">
        <f t="shared" si="1"/>
        <v>0</v>
      </c>
      <c r="M183" s="86"/>
    </row>
    <row r="184" spans="1:13" s="87" customFormat="1" ht="15.75">
      <c r="A184" s="173"/>
      <c r="B184" s="136" t="s">
        <v>43</v>
      </c>
      <c r="C184" s="137"/>
      <c r="D184" s="39">
        <v>164351.9</v>
      </c>
      <c r="E184" s="39">
        <v>9328</v>
      </c>
      <c r="F184" s="40">
        <f t="shared" si="2"/>
        <v>173679.9</v>
      </c>
      <c r="I184" s="113">
        <v>9328</v>
      </c>
      <c r="J184" s="111">
        <f t="shared" si="1"/>
        <v>0</v>
      </c>
      <c r="M184" s="86"/>
    </row>
    <row r="185" spans="1:13" s="87" customFormat="1" ht="15.75">
      <c r="A185" s="173"/>
      <c r="B185" s="136" t="s">
        <v>136</v>
      </c>
      <c r="C185" s="137"/>
      <c r="D185" s="39">
        <v>45603.3</v>
      </c>
      <c r="E185" s="39">
        <v>-7532.1</v>
      </c>
      <c r="F185" s="40">
        <f t="shared" si="2"/>
        <v>38071.200000000004</v>
      </c>
      <c r="I185" s="113">
        <v>-7532.1</v>
      </c>
      <c r="J185" s="111">
        <f t="shared" si="1"/>
        <v>0</v>
      </c>
      <c r="M185" s="86"/>
    </row>
    <row r="186" spans="1:13" s="87" customFormat="1" ht="15.75">
      <c r="A186" s="173"/>
      <c r="B186" s="136" t="s">
        <v>47</v>
      </c>
      <c r="C186" s="137"/>
      <c r="D186" s="39">
        <v>15467.7</v>
      </c>
      <c r="E186" s="39">
        <v>0.1</v>
      </c>
      <c r="F186" s="40">
        <f t="shared" si="2"/>
        <v>15467.800000000001</v>
      </c>
      <c r="I186" s="113">
        <v>0.1</v>
      </c>
      <c r="J186" s="111">
        <f t="shared" si="1"/>
        <v>0</v>
      </c>
      <c r="M186" s="86"/>
    </row>
    <row r="187" spans="1:13" s="87" customFormat="1" ht="15.75">
      <c r="A187" s="173"/>
      <c r="B187" s="136" t="s">
        <v>346</v>
      </c>
      <c r="C187" s="137"/>
      <c r="D187" s="39">
        <v>66826.2</v>
      </c>
      <c r="E187" s="39">
        <v>4126.2</v>
      </c>
      <c r="F187" s="40">
        <f t="shared" si="2"/>
        <v>70952.399999999994</v>
      </c>
      <c r="I187" s="113">
        <v>4126.2</v>
      </c>
      <c r="J187" s="111">
        <f t="shared" si="1"/>
        <v>0</v>
      </c>
      <c r="M187" s="86"/>
    </row>
    <row r="188" spans="1:13" s="87" customFormat="1" ht="15.75">
      <c r="A188" s="173"/>
      <c r="B188" s="136" t="s">
        <v>87</v>
      </c>
      <c r="C188" s="137"/>
      <c r="D188" s="39">
        <v>11659.8</v>
      </c>
      <c r="E188" s="39">
        <v>-2494.1999999999998</v>
      </c>
      <c r="F188" s="40">
        <f t="shared" si="2"/>
        <v>9165.5999999999985</v>
      </c>
      <c r="I188" s="113">
        <v>-2494.1999999999998</v>
      </c>
      <c r="J188" s="111">
        <f t="shared" si="1"/>
        <v>0</v>
      </c>
      <c r="M188" s="86"/>
    </row>
    <row r="189" spans="1:13" s="87" customFormat="1" ht="15.75">
      <c r="A189" s="173"/>
      <c r="B189" s="136" t="s">
        <v>343</v>
      </c>
      <c r="C189" s="137"/>
      <c r="D189" s="39">
        <v>249956</v>
      </c>
      <c r="E189" s="39">
        <v>13669.4</v>
      </c>
      <c r="F189" s="40">
        <f t="shared" si="2"/>
        <v>263625.40000000002</v>
      </c>
      <c r="I189" s="113">
        <v>13669.4</v>
      </c>
      <c r="J189" s="111">
        <f t="shared" si="1"/>
        <v>0</v>
      </c>
      <c r="M189" s="86"/>
    </row>
    <row r="190" spans="1:13" s="87" customFormat="1" ht="15.75">
      <c r="A190" s="173"/>
      <c r="B190" s="136" t="s">
        <v>368</v>
      </c>
      <c r="C190" s="137"/>
      <c r="D190" s="39">
        <v>307.39999999999998</v>
      </c>
      <c r="E190" s="39">
        <v>100</v>
      </c>
      <c r="F190" s="40">
        <f t="shared" si="2"/>
        <v>407.4</v>
      </c>
      <c r="I190" s="113"/>
      <c r="J190" s="111">
        <f t="shared" si="1"/>
        <v>100</v>
      </c>
      <c r="M190" s="86"/>
    </row>
    <row r="191" spans="1:13" s="87" customFormat="1" ht="15.75">
      <c r="A191" s="173"/>
      <c r="B191" s="136" t="s">
        <v>371</v>
      </c>
      <c r="C191" s="137"/>
      <c r="D191" s="39">
        <v>21.4</v>
      </c>
      <c r="E191" s="39">
        <v>1</v>
      </c>
      <c r="F191" s="40">
        <f t="shared" si="2"/>
        <v>22.4</v>
      </c>
      <c r="I191" s="113"/>
      <c r="J191" s="111">
        <f t="shared" si="1"/>
        <v>1</v>
      </c>
      <c r="M191" s="86"/>
    </row>
    <row r="192" spans="1:13" s="89" customFormat="1" ht="17.25" customHeight="1">
      <c r="A192" s="173"/>
      <c r="B192" s="136" t="s">
        <v>356</v>
      </c>
      <c r="C192" s="137"/>
      <c r="D192" s="36">
        <v>834.5</v>
      </c>
      <c r="E192" s="39">
        <v>189.9</v>
      </c>
      <c r="F192" s="35">
        <f t="shared" si="2"/>
        <v>1024.4000000000001</v>
      </c>
      <c r="I192" s="115">
        <v>189.9</v>
      </c>
      <c r="J192" s="111">
        <f t="shared" si="1"/>
        <v>0</v>
      </c>
    </row>
    <row r="193" spans="1:10" s="89" customFormat="1" ht="17.25" customHeight="1">
      <c r="A193" s="173"/>
      <c r="B193" s="136" t="s">
        <v>344</v>
      </c>
      <c r="C193" s="137"/>
      <c r="D193" s="36">
        <v>451</v>
      </c>
      <c r="E193" s="39">
        <f>-64-7</f>
        <v>-71</v>
      </c>
      <c r="F193" s="35">
        <f t="shared" si="2"/>
        <v>380</v>
      </c>
      <c r="I193" s="115">
        <f>-7-64</f>
        <v>-71</v>
      </c>
      <c r="J193" s="111">
        <f t="shared" si="1"/>
        <v>0</v>
      </c>
    </row>
    <row r="194" spans="1:10" s="89" customFormat="1" ht="17.25" customHeight="1">
      <c r="A194" s="173"/>
      <c r="B194" s="136" t="s">
        <v>313</v>
      </c>
      <c r="C194" s="137"/>
      <c r="D194" s="36">
        <v>637</v>
      </c>
      <c r="E194" s="39">
        <v>-2</v>
      </c>
      <c r="F194" s="35">
        <f t="shared" si="2"/>
        <v>635</v>
      </c>
      <c r="I194" s="115">
        <v>-2</v>
      </c>
      <c r="J194" s="111">
        <f t="shared" si="1"/>
        <v>0</v>
      </c>
    </row>
    <row r="195" spans="1:10" s="89" customFormat="1" ht="17.25" customHeight="1">
      <c r="A195" s="173"/>
      <c r="B195" s="136" t="s">
        <v>374</v>
      </c>
      <c r="C195" s="137"/>
      <c r="D195" s="36">
        <v>159</v>
      </c>
      <c r="E195" s="39">
        <v>145.69999999999999</v>
      </c>
      <c r="F195" s="35">
        <f t="shared" si="2"/>
        <v>304.7</v>
      </c>
      <c r="I195" s="115"/>
      <c r="J195" s="111">
        <f t="shared" si="1"/>
        <v>145.69999999999999</v>
      </c>
    </row>
    <row r="196" spans="1:10" s="89" customFormat="1" ht="17.25" customHeight="1">
      <c r="A196" s="173"/>
      <c r="B196" s="136" t="s">
        <v>48</v>
      </c>
      <c r="C196" s="137"/>
      <c r="D196" s="36">
        <v>391.9</v>
      </c>
      <c r="E196" s="39">
        <v>239.4</v>
      </c>
      <c r="F196" s="35">
        <f t="shared" si="2"/>
        <v>631.29999999999995</v>
      </c>
      <c r="I196" s="115"/>
      <c r="J196" s="111">
        <f t="shared" si="1"/>
        <v>239.4</v>
      </c>
    </row>
    <row r="197" spans="1:10" s="89" customFormat="1" ht="17.25" customHeight="1">
      <c r="A197" s="173"/>
      <c r="B197" s="136" t="s">
        <v>349</v>
      </c>
      <c r="C197" s="137"/>
      <c r="D197" s="36">
        <v>637</v>
      </c>
      <c r="E197" s="39">
        <v>-76</v>
      </c>
      <c r="F197" s="35">
        <f t="shared" si="2"/>
        <v>561</v>
      </c>
      <c r="I197" s="115">
        <v>-76</v>
      </c>
      <c r="J197" s="111">
        <f t="shared" si="1"/>
        <v>0</v>
      </c>
    </row>
    <row r="198" spans="1:10" s="89" customFormat="1" ht="17.25" customHeight="1">
      <c r="A198" s="173"/>
      <c r="B198" s="136" t="s">
        <v>347</v>
      </c>
      <c r="C198" s="137"/>
      <c r="D198" s="36">
        <v>1832.4</v>
      </c>
      <c r="E198" s="39">
        <v>157.80000000000001</v>
      </c>
      <c r="F198" s="35">
        <f t="shared" si="2"/>
        <v>1990.2</v>
      </c>
      <c r="I198" s="115">
        <v>157.80000000000001</v>
      </c>
      <c r="J198" s="111">
        <f t="shared" si="1"/>
        <v>0</v>
      </c>
    </row>
    <row r="199" spans="1:10" s="89" customFormat="1" ht="17.25" customHeight="1">
      <c r="A199" s="173"/>
      <c r="B199" s="136" t="s">
        <v>348</v>
      </c>
      <c r="C199" s="137"/>
      <c r="D199" s="36">
        <v>586.6</v>
      </c>
      <c r="E199" s="39">
        <v>2.2000000000000002</v>
      </c>
      <c r="F199" s="35">
        <f t="shared" si="2"/>
        <v>588.80000000000007</v>
      </c>
      <c r="I199" s="115">
        <v>2.2000000000000002</v>
      </c>
      <c r="J199" s="111">
        <f t="shared" si="1"/>
        <v>0</v>
      </c>
    </row>
    <row r="200" spans="1:10" s="89" customFormat="1" ht="17.25" customHeight="1">
      <c r="A200" s="173"/>
      <c r="B200" s="136" t="s">
        <v>314</v>
      </c>
      <c r="C200" s="137"/>
      <c r="D200" s="36">
        <v>1000</v>
      </c>
      <c r="E200" s="39">
        <f>30-100</f>
        <v>-70</v>
      </c>
      <c r="F200" s="35">
        <f t="shared" si="2"/>
        <v>930</v>
      </c>
      <c r="I200" s="115">
        <f>-100+30</f>
        <v>-70</v>
      </c>
      <c r="J200" s="111">
        <f t="shared" si="1"/>
        <v>0</v>
      </c>
    </row>
    <row r="201" spans="1:10" s="89" customFormat="1" ht="17.25" customHeight="1">
      <c r="A201" s="173"/>
      <c r="B201" s="136" t="s">
        <v>144</v>
      </c>
      <c r="C201" s="137"/>
      <c r="D201" s="36">
        <v>5907</v>
      </c>
      <c r="E201" s="39">
        <f>398+115</f>
        <v>513</v>
      </c>
      <c r="F201" s="35">
        <f t="shared" si="2"/>
        <v>6420</v>
      </c>
      <c r="I201" s="115">
        <f>115+398</f>
        <v>513</v>
      </c>
      <c r="J201" s="111">
        <f t="shared" si="1"/>
        <v>0</v>
      </c>
    </row>
    <row r="202" spans="1:10" s="89" customFormat="1" ht="17.25" customHeight="1">
      <c r="A202" s="173"/>
      <c r="B202" s="136" t="s">
        <v>300</v>
      </c>
      <c r="C202" s="137"/>
      <c r="D202" s="36">
        <v>1172</v>
      </c>
      <c r="E202" s="39">
        <v>269.10000000000002</v>
      </c>
      <c r="F202" s="35">
        <f t="shared" si="2"/>
        <v>1441.1</v>
      </c>
      <c r="I202" s="115"/>
      <c r="J202" s="111">
        <f t="shared" si="1"/>
        <v>269.10000000000002</v>
      </c>
    </row>
    <row r="203" spans="1:10" s="89" customFormat="1" ht="17.25" customHeight="1">
      <c r="A203" s="173"/>
      <c r="B203" s="136" t="s">
        <v>44</v>
      </c>
      <c r="C203" s="137"/>
      <c r="D203" s="36">
        <v>4.8</v>
      </c>
      <c r="E203" s="39">
        <f>-0.6+0.03205</f>
        <v>-0.56794999999999995</v>
      </c>
      <c r="F203" s="35">
        <f t="shared" si="2"/>
        <v>4.2320500000000001</v>
      </c>
      <c r="I203" s="115">
        <v>3.2050000000000002E-2</v>
      </c>
      <c r="J203" s="111">
        <f t="shared" si="1"/>
        <v>-0.6</v>
      </c>
    </row>
    <row r="204" spans="1:10" s="89" customFormat="1" ht="17.25" customHeight="1">
      <c r="A204" s="173"/>
      <c r="B204" s="136" t="s">
        <v>45</v>
      </c>
      <c r="C204" s="137"/>
      <c r="D204" s="36">
        <v>478</v>
      </c>
      <c r="E204" s="39">
        <f>-62.6+8.60766</f>
        <v>-53.992339999999999</v>
      </c>
      <c r="F204" s="35">
        <f t="shared" si="2"/>
        <v>424.00765999999999</v>
      </c>
      <c r="I204" s="115">
        <v>8.6076599999999992</v>
      </c>
      <c r="J204" s="111">
        <f t="shared" si="1"/>
        <v>-62.599999999999994</v>
      </c>
    </row>
    <row r="205" spans="1:10" s="89" customFormat="1" ht="17.25" customHeight="1">
      <c r="A205" s="173"/>
      <c r="B205" s="136" t="s">
        <v>46</v>
      </c>
      <c r="C205" s="137"/>
      <c r="D205" s="36">
        <v>8566.2000000000007</v>
      </c>
      <c r="E205" s="39">
        <f>-1045.8-141.63971</f>
        <v>-1187.4397099999999</v>
      </c>
      <c r="F205" s="35">
        <f t="shared" si="2"/>
        <v>7378.7602900000011</v>
      </c>
      <c r="I205" s="115">
        <v>-141.63971000000001</v>
      </c>
      <c r="J205" s="111">
        <f t="shared" si="1"/>
        <v>-1045.8</v>
      </c>
    </row>
    <row r="206" spans="1:10" s="89" customFormat="1" ht="17.25" customHeight="1">
      <c r="A206" s="195"/>
      <c r="B206" s="136" t="s">
        <v>372</v>
      </c>
      <c r="C206" s="137"/>
      <c r="D206" s="36">
        <v>37881</v>
      </c>
      <c r="E206" s="39">
        <f>-723-1316</f>
        <v>-2039</v>
      </c>
      <c r="F206" s="35">
        <f t="shared" si="2"/>
        <v>35842</v>
      </c>
      <c r="I206" s="115">
        <f>-1316</f>
        <v>-1316</v>
      </c>
      <c r="J206" s="111">
        <f t="shared" si="1"/>
        <v>-723</v>
      </c>
    </row>
    <row r="207" spans="1:10" s="89" customFormat="1" ht="17.25" customHeight="1">
      <c r="A207" s="172" t="s">
        <v>14</v>
      </c>
      <c r="B207" s="136" t="s">
        <v>342</v>
      </c>
      <c r="C207" s="137"/>
      <c r="D207" s="36">
        <v>26</v>
      </c>
      <c r="E207" s="39">
        <v>-7</v>
      </c>
      <c r="F207" s="35">
        <f t="shared" si="2"/>
        <v>19</v>
      </c>
      <c r="I207" s="115"/>
      <c r="J207" s="111">
        <f t="shared" si="1"/>
        <v>-7</v>
      </c>
    </row>
    <row r="208" spans="1:10" s="89" customFormat="1" ht="17.25" customHeight="1">
      <c r="A208" s="173"/>
      <c r="B208" s="136" t="s">
        <v>341</v>
      </c>
      <c r="C208" s="137"/>
      <c r="D208" s="36">
        <v>4563</v>
      </c>
      <c r="E208" s="39">
        <f>265-55</f>
        <v>210</v>
      </c>
      <c r="F208" s="35">
        <f t="shared" si="2"/>
        <v>4773</v>
      </c>
      <c r="I208" s="115">
        <v>-55</v>
      </c>
      <c r="J208" s="111">
        <f t="shared" si="1"/>
        <v>265</v>
      </c>
    </row>
    <row r="209" spans="1:10" s="89" customFormat="1" ht="17.25" customHeight="1">
      <c r="A209" s="173"/>
      <c r="B209" s="136" t="s">
        <v>353</v>
      </c>
      <c r="C209" s="137"/>
      <c r="D209" s="36">
        <v>0</v>
      </c>
      <c r="E209" s="39">
        <v>80</v>
      </c>
      <c r="F209" s="35">
        <f t="shared" si="2"/>
        <v>80</v>
      </c>
      <c r="I209" s="115"/>
      <c r="J209" s="111">
        <f t="shared" si="1"/>
        <v>80</v>
      </c>
    </row>
    <row r="210" spans="1:10" s="89" customFormat="1" ht="17.25" customHeight="1">
      <c r="A210" s="195"/>
      <c r="B210" s="136" t="s">
        <v>357</v>
      </c>
      <c r="C210" s="137"/>
      <c r="D210" s="36">
        <v>130</v>
      </c>
      <c r="E210" s="39">
        <v>20.3</v>
      </c>
      <c r="F210" s="35">
        <f t="shared" si="2"/>
        <v>150.30000000000001</v>
      </c>
      <c r="I210" s="115">
        <v>20.3</v>
      </c>
      <c r="J210" s="111">
        <f t="shared" si="1"/>
        <v>0</v>
      </c>
    </row>
    <row r="211" spans="1:10" s="86" customFormat="1" ht="15.75">
      <c r="A211" s="172" t="s">
        <v>25</v>
      </c>
      <c r="B211" s="174" t="s">
        <v>358</v>
      </c>
      <c r="C211" s="175"/>
      <c r="D211" s="39">
        <v>75409</v>
      </c>
      <c r="E211" s="39">
        <f>4277.6-696</f>
        <v>3581.6000000000004</v>
      </c>
      <c r="F211" s="35">
        <f t="shared" si="2"/>
        <v>78990.600000000006</v>
      </c>
      <c r="I211" s="113">
        <f>-696+4277.6</f>
        <v>3581.6000000000004</v>
      </c>
      <c r="J211" s="111">
        <f t="shared" si="1"/>
        <v>0</v>
      </c>
    </row>
    <row r="212" spans="1:10" s="86" customFormat="1" ht="15.75">
      <c r="A212" s="173"/>
      <c r="B212" s="174" t="s">
        <v>359</v>
      </c>
      <c r="C212" s="175"/>
      <c r="D212" s="39">
        <v>30440.9</v>
      </c>
      <c r="E212" s="39">
        <v>1782.3</v>
      </c>
      <c r="F212" s="35">
        <f t="shared" si="2"/>
        <v>32223.200000000001</v>
      </c>
      <c r="I212" s="113">
        <v>1782.3</v>
      </c>
      <c r="J212" s="111">
        <f t="shared" si="1"/>
        <v>0</v>
      </c>
    </row>
    <row r="213" spans="1:10" s="86" customFormat="1" ht="15.75">
      <c r="A213" s="173"/>
      <c r="B213" s="174" t="s">
        <v>142</v>
      </c>
      <c r="C213" s="175"/>
      <c r="D213" s="39">
        <v>5909.4</v>
      </c>
      <c r="E213" s="39">
        <f>100-14.3</f>
        <v>85.7</v>
      </c>
      <c r="F213" s="35">
        <f t="shared" si="2"/>
        <v>5995.0999999999995</v>
      </c>
      <c r="I213" s="113">
        <f>-14.3+100</f>
        <v>85.7</v>
      </c>
      <c r="J213" s="111">
        <f t="shared" si="1"/>
        <v>0</v>
      </c>
    </row>
    <row r="214" spans="1:10" s="89" customFormat="1" ht="17.25" customHeight="1">
      <c r="A214" s="173"/>
      <c r="B214" s="136" t="s">
        <v>376</v>
      </c>
      <c r="C214" s="137"/>
      <c r="D214" s="39">
        <v>442.3</v>
      </c>
      <c r="E214" s="39">
        <v>-6</v>
      </c>
      <c r="F214" s="35">
        <f t="shared" si="2"/>
        <v>436.3</v>
      </c>
      <c r="I214" s="115">
        <v>-6</v>
      </c>
      <c r="J214" s="111">
        <f t="shared" si="1"/>
        <v>0</v>
      </c>
    </row>
    <row r="215" spans="1:10" s="89" customFormat="1" ht="17.25" customHeight="1">
      <c r="A215" s="173"/>
      <c r="B215" s="136" t="s">
        <v>137</v>
      </c>
      <c r="C215" s="137"/>
      <c r="D215" s="39">
        <v>39.161990000000003</v>
      </c>
      <c r="E215" s="39">
        <f>0.41812+0.12373+0.12373</f>
        <v>0.66557999999999995</v>
      </c>
      <c r="F215" s="35">
        <f t="shared" si="2"/>
        <v>39.827570000000001</v>
      </c>
      <c r="I215" s="115">
        <f>0.12373+0.12373+0.41812</f>
        <v>0.66558000000000006</v>
      </c>
      <c r="J215" s="111">
        <f t="shared" si="1"/>
        <v>0</v>
      </c>
    </row>
    <row r="216" spans="1:10" s="89" customFormat="1" ht="17.25" customHeight="1">
      <c r="A216" s="173"/>
      <c r="B216" s="136" t="s">
        <v>65</v>
      </c>
      <c r="C216" s="137"/>
      <c r="D216" s="39">
        <v>7918.2804800000004</v>
      </c>
      <c r="E216" s="39">
        <f>0.05753+98.92647+24.746+24.746</f>
        <v>148.476</v>
      </c>
      <c r="F216" s="35">
        <f t="shared" si="2"/>
        <v>8066.75648</v>
      </c>
      <c r="I216" s="115">
        <f>24.746+24.746+98.92647+0.05753</f>
        <v>148.476</v>
      </c>
      <c r="J216" s="111">
        <f t="shared" si="1"/>
        <v>0</v>
      </c>
    </row>
    <row r="217" spans="1:10" s="89" customFormat="1" ht="17.25" customHeight="1">
      <c r="A217" s="173"/>
      <c r="B217" s="136" t="s">
        <v>642</v>
      </c>
      <c r="C217" s="137"/>
      <c r="D217" s="39">
        <v>58935</v>
      </c>
      <c r="E217" s="39">
        <v>-11000</v>
      </c>
      <c r="F217" s="35">
        <f t="shared" si="2"/>
        <v>47935</v>
      </c>
      <c r="I217" s="115">
        <v>-11000</v>
      </c>
      <c r="J217" s="111">
        <f t="shared" si="1"/>
        <v>0</v>
      </c>
    </row>
    <row r="218" spans="1:10" s="89" customFormat="1" ht="17.25" customHeight="1">
      <c r="A218" s="173"/>
      <c r="B218" s="136" t="s">
        <v>331</v>
      </c>
      <c r="C218" s="137"/>
      <c r="D218" s="36">
        <v>9.9</v>
      </c>
      <c r="E218" s="39">
        <f>-3+1.58285</f>
        <v>-1.4171499999999999</v>
      </c>
      <c r="F218" s="35">
        <f t="shared" si="2"/>
        <v>8.4828500000000009</v>
      </c>
      <c r="I218" s="115">
        <f>1.58285-3</f>
        <v>-1.4171499999999999</v>
      </c>
      <c r="J218" s="111">
        <f t="shared" si="1"/>
        <v>0</v>
      </c>
    </row>
    <row r="219" spans="1:10" s="89" customFormat="1" ht="17.25" customHeight="1">
      <c r="A219" s="173"/>
      <c r="B219" s="136" t="s">
        <v>335</v>
      </c>
      <c r="C219" s="137"/>
      <c r="D219" s="36">
        <v>22967.3</v>
      </c>
      <c r="E219" s="39">
        <f>-223.3-205</f>
        <v>-428.3</v>
      </c>
      <c r="F219" s="35">
        <f t="shared" si="2"/>
        <v>22539</v>
      </c>
      <c r="I219" s="115">
        <f>-223.3-205</f>
        <v>-428.3</v>
      </c>
      <c r="J219" s="111">
        <f t="shared" si="1"/>
        <v>0</v>
      </c>
    </row>
    <row r="220" spans="1:10" s="89" customFormat="1" ht="17.25" customHeight="1">
      <c r="A220" s="173"/>
      <c r="B220" s="136" t="s">
        <v>582</v>
      </c>
      <c r="C220" s="137"/>
      <c r="D220" s="36">
        <v>240.4</v>
      </c>
      <c r="E220" s="39">
        <v>-10.7</v>
      </c>
      <c r="F220" s="35">
        <f t="shared" si="2"/>
        <v>229.70000000000002</v>
      </c>
      <c r="I220" s="115">
        <v>-10.7</v>
      </c>
      <c r="J220" s="111"/>
    </row>
    <row r="221" spans="1:10" s="89" customFormat="1" ht="17.25" customHeight="1">
      <c r="A221" s="173"/>
      <c r="B221" s="136" t="s">
        <v>630</v>
      </c>
      <c r="C221" s="137"/>
      <c r="D221" s="36">
        <v>47</v>
      </c>
      <c r="E221" s="39">
        <v>-11.67</v>
      </c>
      <c r="F221" s="35">
        <f t="shared" si="2"/>
        <v>35.33</v>
      </c>
      <c r="I221" s="115">
        <v>-11.7</v>
      </c>
      <c r="J221" s="111">
        <f t="shared" si="1"/>
        <v>2.9999999999999361E-2</v>
      </c>
    </row>
    <row r="222" spans="1:10" s="89" customFormat="1" ht="17.25" customHeight="1">
      <c r="A222" s="173"/>
      <c r="B222" s="136" t="s">
        <v>631</v>
      </c>
      <c r="C222" s="137"/>
      <c r="D222" s="36">
        <v>2351.4</v>
      </c>
      <c r="E222" s="39">
        <v>-105.73</v>
      </c>
      <c r="F222" s="35">
        <f t="shared" si="2"/>
        <v>2245.67</v>
      </c>
      <c r="I222" s="115">
        <v>-105.7</v>
      </c>
      <c r="J222" s="111">
        <f t="shared" si="1"/>
        <v>-3.0000000000001137E-2</v>
      </c>
    </row>
    <row r="223" spans="1:10" s="89" customFormat="1" ht="17.25" customHeight="1">
      <c r="A223" s="173"/>
      <c r="B223" s="136" t="s">
        <v>632</v>
      </c>
      <c r="C223" s="137"/>
      <c r="D223" s="36">
        <v>128.5</v>
      </c>
      <c r="E223" s="39">
        <v>-11.15</v>
      </c>
      <c r="F223" s="35">
        <f t="shared" si="2"/>
        <v>117.35</v>
      </c>
      <c r="I223" s="115">
        <v>-11.1</v>
      </c>
      <c r="J223" s="111">
        <f t="shared" si="1"/>
        <v>-5.0000000000000711E-2</v>
      </c>
    </row>
    <row r="224" spans="1:10" s="89" customFormat="1" ht="17.25" customHeight="1">
      <c r="A224" s="173"/>
      <c r="B224" s="136" t="s">
        <v>82</v>
      </c>
      <c r="C224" s="137"/>
      <c r="D224" s="36">
        <v>9951</v>
      </c>
      <c r="E224" s="39">
        <v>-407.35</v>
      </c>
      <c r="F224" s="35">
        <f t="shared" si="2"/>
        <v>9543.65</v>
      </c>
      <c r="I224" s="115">
        <v>-407.4</v>
      </c>
      <c r="J224" s="111">
        <f t="shared" ref="J224:J261" si="3">E224-I224</f>
        <v>4.9999999999954525E-2</v>
      </c>
    </row>
    <row r="225" spans="1:10" s="89" customFormat="1" ht="17.25" customHeight="1">
      <c r="A225" s="173"/>
      <c r="B225" s="136" t="s">
        <v>633</v>
      </c>
      <c r="C225" s="137"/>
      <c r="D225" s="36">
        <v>0.1</v>
      </c>
      <c r="E225" s="39">
        <v>-0.1</v>
      </c>
      <c r="F225" s="35">
        <f t="shared" si="2"/>
        <v>0</v>
      </c>
      <c r="I225" s="115">
        <v>-0.1</v>
      </c>
      <c r="J225" s="111">
        <f t="shared" si="3"/>
        <v>0</v>
      </c>
    </row>
    <row r="226" spans="1:10" s="89" customFormat="1" ht="17.25" customHeight="1">
      <c r="A226" s="173"/>
      <c r="B226" s="136" t="s">
        <v>634</v>
      </c>
      <c r="C226" s="137"/>
      <c r="D226" s="36">
        <v>0.9</v>
      </c>
      <c r="E226" s="39">
        <v>-0.9</v>
      </c>
      <c r="F226" s="35">
        <f t="shared" si="2"/>
        <v>0</v>
      </c>
      <c r="I226" s="115">
        <v>-0.9</v>
      </c>
      <c r="J226" s="111">
        <f t="shared" si="3"/>
        <v>0</v>
      </c>
    </row>
    <row r="227" spans="1:10" s="89" customFormat="1" ht="17.25" customHeight="1">
      <c r="A227" s="173"/>
      <c r="B227" s="136" t="s">
        <v>635</v>
      </c>
      <c r="C227" s="137"/>
      <c r="D227" s="36">
        <v>6.2</v>
      </c>
      <c r="E227" s="39">
        <v>-1.3</v>
      </c>
      <c r="F227" s="35">
        <f t="shared" si="2"/>
        <v>4.9000000000000004</v>
      </c>
      <c r="I227" s="115">
        <v>-1.3</v>
      </c>
      <c r="J227" s="111">
        <f t="shared" si="3"/>
        <v>0</v>
      </c>
    </row>
    <row r="228" spans="1:10" s="89" customFormat="1" ht="17.25" customHeight="1">
      <c r="A228" s="173"/>
      <c r="B228" s="136" t="s">
        <v>92</v>
      </c>
      <c r="C228" s="137"/>
      <c r="D228" s="36">
        <v>530.29999999999995</v>
      </c>
      <c r="E228" s="39">
        <v>-46.7</v>
      </c>
      <c r="F228" s="35">
        <f t="shared" si="2"/>
        <v>483.59999999999997</v>
      </c>
      <c r="I228" s="115">
        <v>-46.7</v>
      </c>
      <c r="J228" s="111">
        <f t="shared" si="3"/>
        <v>0</v>
      </c>
    </row>
    <row r="229" spans="1:10" s="89" customFormat="1" ht="17.25" customHeight="1">
      <c r="A229" s="173"/>
      <c r="B229" s="136" t="s">
        <v>636</v>
      </c>
      <c r="C229" s="137"/>
      <c r="D229" s="36">
        <v>0.1</v>
      </c>
      <c r="E229" s="39">
        <v>-0.05</v>
      </c>
      <c r="F229" s="35">
        <f t="shared" si="2"/>
        <v>0.05</v>
      </c>
      <c r="I229" s="115">
        <f>-0.05</f>
        <v>-0.05</v>
      </c>
      <c r="J229" s="111">
        <f t="shared" si="3"/>
        <v>0</v>
      </c>
    </row>
    <row r="230" spans="1:10" s="89" customFormat="1" ht="17.25" customHeight="1">
      <c r="A230" s="173"/>
      <c r="B230" s="136" t="s">
        <v>350</v>
      </c>
      <c r="C230" s="137"/>
      <c r="D230" s="36">
        <v>18</v>
      </c>
      <c r="E230" s="39">
        <f>-10-4.75</f>
        <v>-14.75</v>
      </c>
      <c r="F230" s="35">
        <f t="shared" si="2"/>
        <v>3.25</v>
      </c>
      <c r="I230" s="115">
        <f>-4.75-10</f>
        <v>-14.75</v>
      </c>
      <c r="J230" s="111">
        <f t="shared" si="3"/>
        <v>0</v>
      </c>
    </row>
    <row r="231" spans="1:10" s="89" customFormat="1" ht="17.25" customHeight="1">
      <c r="A231" s="173"/>
      <c r="B231" s="136" t="s">
        <v>548</v>
      </c>
      <c r="C231" s="137"/>
      <c r="D231" s="36">
        <v>15.3</v>
      </c>
      <c r="E231" s="39">
        <v>-7.69</v>
      </c>
      <c r="F231" s="35">
        <f t="shared" si="2"/>
        <v>7.61</v>
      </c>
      <c r="I231" s="115">
        <v>-7.7</v>
      </c>
      <c r="J231" s="111">
        <f t="shared" si="3"/>
        <v>9.9999999999997868E-3</v>
      </c>
    </row>
    <row r="232" spans="1:10" s="89" customFormat="1" ht="17.25" customHeight="1">
      <c r="A232" s="173"/>
      <c r="B232" s="136" t="s">
        <v>637</v>
      </c>
      <c r="C232" s="137"/>
      <c r="D232" s="36">
        <v>868</v>
      </c>
      <c r="E232" s="39">
        <v>-298.61</v>
      </c>
      <c r="F232" s="35">
        <f t="shared" si="2"/>
        <v>569.39</v>
      </c>
      <c r="I232" s="115">
        <v>-298.60000000000002</v>
      </c>
      <c r="J232" s="111">
        <f t="shared" si="3"/>
        <v>-9.9999999999909051E-3</v>
      </c>
    </row>
    <row r="233" spans="1:10" s="89" customFormat="1" ht="17.25" customHeight="1">
      <c r="A233" s="173"/>
      <c r="B233" s="136" t="s">
        <v>330</v>
      </c>
      <c r="C233" s="137"/>
      <c r="D233" s="36">
        <v>392</v>
      </c>
      <c r="E233" s="39">
        <v>34</v>
      </c>
      <c r="F233" s="35">
        <f t="shared" si="2"/>
        <v>426</v>
      </c>
      <c r="I233" s="115">
        <v>34</v>
      </c>
      <c r="J233" s="111">
        <f t="shared" si="3"/>
        <v>0</v>
      </c>
    </row>
    <row r="234" spans="1:10" s="89" customFormat="1" ht="17.25" customHeight="1">
      <c r="A234" s="173"/>
      <c r="B234" s="136" t="s">
        <v>329</v>
      </c>
      <c r="C234" s="137"/>
      <c r="D234" s="36">
        <v>76280</v>
      </c>
      <c r="E234" s="39">
        <v>3966</v>
      </c>
      <c r="F234" s="35">
        <f t="shared" si="2"/>
        <v>80246</v>
      </c>
      <c r="I234" s="115">
        <v>3966</v>
      </c>
      <c r="J234" s="111">
        <f t="shared" si="3"/>
        <v>0</v>
      </c>
    </row>
    <row r="235" spans="1:10" s="89" customFormat="1" ht="17.25" hidden="1" customHeight="1">
      <c r="A235" s="173"/>
      <c r="B235" s="136" t="s">
        <v>546</v>
      </c>
      <c r="C235" s="137"/>
      <c r="D235" s="36">
        <v>240.4</v>
      </c>
      <c r="E235" s="39"/>
      <c r="F235" s="35">
        <f t="shared" si="2"/>
        <v>240.4</v>
      </c>
      <c r="I235" s="115">
        <v>-10.7</v>
      </c>
      <c r="J235" s="111">
        <f t="shared" si="3"/>
        <v>10.7</v>
      </c>
    </row>
    <row r="236" spans="1:10" s="89" customFormat="1" ht="17.25" customHeight="1">
      <c r="A236" s="173"/>
      <c r="B236" s="136" t="s">
        <v>375</v>
      </c>
      <c r="C236" s="137"/>
      <c r="D236" s="36">
        <v>22967.3</v>
      </c>
      <c r="E236" s="39">
        <f>-1-1</f>
        <v>-2</v>
      </c>
      <c r="F236" s="35">
        <f t="shared" si="2"/>
        <v>22965.3</v>
      </c>
      <c r="I236" s="116">
        <f>-1-1</f>
        <v>-2</v>
      </c>
      <c r="J236" s="111">
        <f t="shared" si="3"/>
        <v>0</v>
      </c>
    </row>
    <row r="237" spans="1:10" s="89" customFormat="1" ht="17.25" customHeight="1">
      <c r="A237" s="173"/>
      <c r="B237" s="136" t="s">
        <v>333</v>
      </c>
      <c r="C237" s="137"/>
      <c r="D237" s="36">
        <v>62</v>
      </c>
      <c r="E237" s="39">
        <f>-13-5.3</f>
        <v>-18.3</v>
      </c>
      <c r="F237" s="35">
        <f t="shared" si="2"/>
        <v>43.7</v>
      </c>
      <c r="I237" s="115">
        <f>-5.3-13</f>
        <v>-18.3</v>
      </c>
      <c r="J237" s="111">
        <f t="shared" si="3"/>
        <v>0</v>
      </c>
    </row>
    <row r="238" spans="1:10" s="89" customFormat="1" ht="17.25" customHeight="1">
      <c r="A238" s="173"/>
      <c r="B238" s="136" t="s">
        <v>330</v>
      </c>
      <c r="C238" s="137"/>
      <c r="D238" s="36">
        <v>392</v>
      </c>
      <c r="E238" s="39">
        <v>10.61</v>
      </c>
      <c r="F238" s="35">
        <f t="shared" si="2"/>
        <v>402.61</v>
      </c>
      <c r="I238" s="115">
        <v>10.6</v>
      </c>
      <c r="J238" s="111">
        <f t="shared" si="3"/>
        <v>9.9999999999997868E-3</v>
      </c>
    </row>
    <row r="239" spans="1:10" s="89" customFormat="1" ht="17.25" customHeight="1">
      <c r="A239" s="173"/>
      <c r="B239" s="136" t="s">
        <v>329</v>
      </c>
      <c r="C239" s="137"/>
      <c r="D239" s="36">
        <v>76280</v>
      </c>
      <c r="E239" s="39">
        <v>1816.39</v>
      </c>
      <c r="F239" s="35">
        <f t="shared" si="2"/>
        <v>78096.39</v>
      </c>
      <c r="I239" s="115">
        <v>1816.4</v>
      </c>
      <c r="J239" s="111">
        <f t="shared" si="3"/>
        <v>-9.9999999999909051E-3</v>
      </c>
    </row>
    <row r="240" spans="1:10" s="89" customFormat="1" ht="17.25" customHeight="1">
      <c r="A240" s="173"/>
      <c r="B240" s="136" t="s">
        <v>168</v>
      </c>
      <c r="C240" s="137"/>
      <c r="D240" s="36">
        <v>3429</v>
      </c>
      <c r="E240" s="39">
        <f>563.1+1099.125-363.5</f>
        <v>1298.7249999999999</v>
      </c>
      <c r="F240" s="35">
        <f t="shared" si="2"/>
        <v>4727.7250000000004</v>
      </c>
      <c r="I240" s="115">
        <f>-363.5+1099.125+563.1</f>
        <v>1298.7249999999999</v>
      </c>
      <c r="J240" s="111">
        <f t="shared" si="3"/>
        <v>0</v>
      </c>
    </row>
    <row r="241" spans="1:10" s="89" customFormat="1" ht="17.25" customHeight="1">
      <c r="A241" s="173"/>
      <c r="B241" s="136" t="s">
        <v>377</v>
      </c>
      <c r="C241" s="137"/>
      <c r="D241" s="36">
        <v>25639</v>
      </c>
      <c r="E241" s="39">
        <f>-1289+142</f>
        <v>-1147</v>
      </c>
      <c r="F241" s="35">
        <f t="shared" si="2"/>
        <v>24492</v>
      </c>
      <c r="I241" s="115">
        <f>142-1289</f>
        <v>-1147</v>
      </c>
      <c r="J241" s="111">
        <f t="shared" si="3"/>
        <v>0</v>
      </c>
    </row>
    <row r="242" spans="1:10" s="89" customFormat="1" ht="17.25" customHeight="1">
      <c r="A242" s="173"/>
      <c r="B242" s="136" t="s">
        <v>441</v>
      </c>
      <c r="C242" s="137"/>
      <c r="D242" s="36">
        <v>98.5</v>
      </c>
      <c r="E242" s="39">
        <f>6-4</f>
        <v>2</v>
      </c>
      <c r="F242" s="35">
        <f t="shared" si="2"/>
        <v>100.5</v>
      </c>
      <c r="I242" s="115">
        <f>-4+6</f>
        <v>2</v>
      </c>
      <c r="J242" s="111">
        <f t="shared" si="3"/>
        <v>0</v>
      </c>
    </row>
    <row r="243" spans="1:10" s="89" customFormat="1" ht="17.25" customHeight="1">
      <c r="A243" s="173"/>
      <c r="B243" s="136" t="s">
        <v>638</v>
      </c>
      <c r="C243" s="137"/>
      <c r="D243" s="36">
        <v>3.8</v>
      </c>
      <c r="E243" s="39">
        <v>0.1</v>
      </c>
      <c r="F243" s="35">
        <f t="shared" si="2"/>
        <v>3.9</v>
      </c>
      <c r="I243" s="115">
        <v>0.1</v>
      </c>
      <c r="J243" s="111">
        <f t="shared" si="3"/>
        <v>0</v>
      </c>
    </row>
    <row r="244" spans="1:10" s="89" customFormat="1" ht="17.25" customHeight="1">
      <c r="A244" s="173"/>
      <c r="B244" s="136" t="s">
        <v>639</v>
      </c>
      <c r="C244" s="137"/>
      <c r="D244" s="36">
        <v>718.2</v>
      </c>
      <c r="E244" s="39">
        <v>55.9</v>
      </c>
      <c r="F244" s="35">
        <f t="shared" si="2"/>
        <v>774.1</v>
      </c>
      <c r="I244" s="115">
        <v>55.9</v>
      </c>
      <c r="J244" s="111">
        <f t="shared" si="3"/>
        <v>0</v>
      </c>
    </row>
    <row r="245" spans="1:10" s="89" customFormat="1" ht="17.25" customHeight="1">
      <c r="A245" s="173"/>
      <c r="B245" s="136" t="s">
        <v>640</v>
      </c>
      <c r="C245" s="137"/>
      <c r="D245" s="36">
        <v>4.3</v>
      </c>
      <c r="E245" s="39">
        <v>1.3</v>
      </c>
      <c r="F245" s="35">
        <f t="shared" si="2"/>
        <v>5.6</v>
      </c>
      <c r="I245" s="115">
        <v>1.3</v>
      </c>
      <c r="J245" s="111">
        <f t="shared" si="3"/>
        <v>0</v>
      </c>
    </row>
    <row r="246" spans="1:10" s="89" customFormat="1" ht="17.25" customHeight="1">
      <c r="A246" s="173"/>
      <c r="B246" s="136" t="s">
        <v>641</v>
      </c>
      <c r="C246" s="137"/>
      <c r="D246" s="36">
        <v>279.7</v>
      </c>
      <c r="E246" s="39">
        <v>13.7</v>
      </c>
      <c r="F246" s="35">
        <f t="shared" si="2"/>
        <v>293.39999999999998</v>
      </c>
      <c r="I246" s="115">
        <v>13.7</v>
      </c>
      <c r="J246" s="111">
        <f t="shared" si="3"/>
        <v>0</v>
      </c>
    </row>
    <row r="247" spans="1:10" s="89" customFormat="1" ht="17.25" customHeight="1">
      <c r="A247" s="173"/>
      <c r="B247" s="136" t="s">
        <v>365</v>
      </c>
      <c r="C247" s="137"/>
      <c r="D247" s="36">
        <v>22</v>
      </c>
      <c r="E247" s="39">
        <f>-0.52872-2.34</f>
        <v>-2.8687199999999997</v>
      </c>
      <c r="F247" s="35">
        <f t="shared" si="2"/>
        <v>19.13128</v>
      </c>
      <c r="I247" s="115">
        <f>-2.34-0.52872</f>
        <v>-2.8687199999999997</v>
      </c>
      <c r="J247" s="111">
        <f t="shared" si="3"/>
        <v>0</v>
      </c>
    </row>
    <row r="248" spans="1:10" s="89" customFormat="1" ht="17.25" customHeight="1">
      <c r="A248" s="173"/>
      <c r="B248" s="136" t="s">
        <v>366</v>
      </c>
      <c r="C248" s="137"/>
      <c r="D248" s="36">
        <v>1171.4000000000001</v>
      </c>
      <c r="E248" s="39">
        <f>-29.87128-215.36</f>
        <v>-245.23128000000003</v>
      </c>
      <c r="F248" s="35">
        <f t="shared" si="2"/>
        <v>926.16872000000012</v>
      </c>
      <c r="I248" s="115">
        <f>-215.36-29.87128</f>
        <v>-245.23128000000003</v>
      </c>
      <c r="J248" s="111">
        <f t="shared" si="3"/>
        <v>0</v>
      </c>
    </row>
    <row r="249" spans="1:10" s="89" customFormat="1" ht="17.25" customHeight="1">
      <c r="A249" s="173"/>
      <c r="B249" s="136" t="s">
        <v>547</v>
      </c>
      <c r="C249" s="137"/>
      <c r="D249" s="36">
        <v>1077.5</v>
      </c>
      <c r="E249" s="39">
        <v>-200</v>
      </c>
      <c r="F249" s="35">
        <f t="shared" si="2"/>
        <v>877.5</v>
      </c>
      <c r="I249" s="115">
        <v>-200</v>
      </c>
      <c r="J249" s="111">
        <f t="shared" si="3"/>
        <v>0</v>
      </c>
    </row>
    <row r="250" spans="1:10" s="89" customFormat="1" ht="17.25" customHeight="1">
      <c r="A250" s="173"/>
      <c r="B250" s="136" t="s">
        <v>145</v>
      </c>
      <c r="C250" s="137"/>
      <c r="D250" s="36">
        <v>95185.5</v>
      </c>
      <c r="E250" s="39">
        <f>-9000-1300</f>
        <v>-10300</v>
      </c>
      <c r="F250" s="35">
        <f t="shared" si="2"/>
        <v>84885.5</v>
      </c>
      <c r="I250" s="115">
        <f>-1300-9000</f>
        <v>-10300</v>
      </c>
      <c r="J250" s="111">
        <f t="shared" si="3"/>
        <v>0</v>
      </c>
    </row>
    <row r="251" spans="1:10" s="89" customFormat="1" ht="17.25" customHeight="1">
      <c r="A251" s="173"/>
      <c r="B251" s="136" t="s">
        <v>415</v>
      </c>
      <c r="C251" s="137"/>
      <c r="D251" s="36">
        <v>1359</v>
      </c>
      <c r="E251" s="39">
        <f>-300-328.9</f>
        <v>-628.9</v>
      </c>
      <c r="F251" s="35">
        <f>SUM(D251:E251)</f>
        <v>730.1</v>
      </c>
      <c r="I251" s="115">
        <f>-328.9-300</f>
        <v>-628.9</v>
      </c>
      <c r="J251" s="111">
        <f t="shared" si="3"/>
        <v>0</v>
      </c>
    </row>
    <row r="252" spans="1:10" s="88" customFormat="1" ht="15" customHeight="1">
      <c r="A252" s="173"/>
      <c r="B252" s="219" t="s">
        <v>437</v>
      </c>
      <c r="C252" s="220"/>
      <c r="D252" s="33">
        <v>185</v>
      </c>
      <c r="E252" s="34">
        <f>24+6.03257</f>
        <v>30.03257</v>
      </c>
      <c r="F252" s="35">
        <f t="shared" si="2"/>
        <v>215.03256999999999</v>
      </c>
      <c r="I252" s="114">
        <f>6.03257+24</f>
        <v>30.03257</v>
      </c>
      <c r="J252" s="111">
        <f t="shared" si="3"/>
        <v>0</v>
      </c>
    </row>
    <row r="253" spans="1:10" s="88" customFormat="1" ht="15" customHeight="1">
      <c r="A253" s="173"/>
      <c r="B253" s="219" t="s">
        <v>438</v>
      </c>
      <c r="C253" s="220"/>
      <c r="D253" s="33">
        <v>19532</v>
      </c>
      <c r="E253" s="34">
        <f>2233+64.56743</f>
        <v>2297.5674300000001</v>
      </c>
      <c r="F253" s="35">
        <f t="shared" ref="F253:F261" si="4">SUM(D253:E253)</f>
        <v>21829.567429999999</v>
      </c>
      <c r="I253" s="114">
        <f>64.56743+2233</f>
        <v>2297.5674300000001</v>
      </c>
      <c r="J253" s="111">
        <f t="shared" si="3"/>
        <v>0</v>
      </c>
    </row>
    <row r="254" spans="1:10" s="89" customFormat="1" ht="17.25" customHeight="1">
      <c r="A254" s="173"/>
      <c r="B254" s="136" t="s">
        <v>364</v>
      </c>
      <c r="C254" s="137"/>
      <c r="D254" s="36">
        <v>19096</v>
      </c>
      <c r="E254" s="39">
        <f>500+588+1166.2</f>
        <v>2254.1999999999998</v>
      </c>
      <c r="F254" s="35">
        <f t="shared" si="4"/>
        <v>21350.2</v>
      </c>
      <c r="I254" s="115">
        <f>1166.2+588+500</f>
        <v>2254.1999999999998</v>
      </c>
      <c r="J254" s="111">
        <f t="shared" si="3"/>
        <v>0</v>
      </c>
    </row>
    <row r="255" spans="1:10" s="89" customFormat="1" ht="17.25" customHeight="1">
      <c r="A255" s="173"/>
      <c r="B255" s="136" t="s">
        <v>147</v>
      </c>
      <c r="C255" s="137"/>
      <c r="D255" s="36">
        <v>52309</v>
      </c>
      <c r="E255" s="39">
        <v>600</v>
      </c>
      <c r="F255" s="35">
        <f t="shared" si="4"/>
        <v>52909</v>
      </c>
      <c r="I255" s="115">
        <v>600</v>
      </c>
      <c r="J255" s="111">
        <f t="shared" si="3"/>
        <v>0</v>
      </c>
    </row>
    <row r="256" spans="1:10" s="89" customFormat="1" ht="17.25" customHeight="1">
      <c r="A256" s="173"/>
      <c r="B256" s="136" t="s">
        <v>337</v>
      </c>
      <c r="C256" s="137"/>
      <c r="D256" s="36">
        <v>29320</v>
      </c>
      <c r="E256" s="39">
        <f>-336-335</f>
        <v>-671</v>
      </c>
      <c r="F256" s="35">
        <f t="shared" si="4"/>
        <v>28649</v>
      </c>
      <c r="I256" s="115">
        <f>-335-336</f>
        <v>-671</v>
      </c>
      <c r="J256" s="111">
        <f t="shared" si="3"/>
        <v>0</v>
      </c>
    </row>
    <row r="257" spans="1:10" s="89" customFormat="1" ht="17.25" customHeight="1">
      <c r="A257" s="173"/>
      <c r="B257" s="136" t="s">
        <v>552</v>
      </c>
      <c r="C257" s="137"/>
      <c r="D257" s="36">
        <v>0</v>
      </c>
      <c r="E257" s="39">
        <f>283.9</f>
        <v>283.89999999999998</v>
      </c>
      <c r="F257" s="35">
        <f t="shared" si="4"/>
        <v>283.89999999999998</v>
      </c>
      <c r="I257" s="115"/>
      <c r="J257" s="111">
        <f t="shared" si="3"/>
        <v>283.89999999999998</v>
      </c>
    </row>
    <row r="258" spans="1:10" s="89" customFormat="1" ht="17.25" customHeight="1">
      <c r="A258" s="173"/>
      <c r="B258" s="136" t="s">
        <v>295</v>
      </c>
      <c r="C258" s="137"/>
      <c r="D258" s="36">
        <v>17800</v>
      </c>
      <c r="E258" s="39">
        <v>952.6</v>
      </c>
      <c r="F258" s="35">
        <f t="shared" si="4"/>
        <v>18752.599999999999</v>
      </c>
      <c r="I258" s="115">
        <v>952.6</v>
      </c>
      <c r="J258" s="111">
        <f t="shared" si="3"/>
        <v>0</v>
      </c>
    </row>
    <row r="259" spans="1:10" s="89" customFormat="1" ht="17.25" customHeight="1">
      <c r="A259" s="195"/>
      <c r="B259" s="136" t="s">
        <v>155</v>
      </c>
      <c r="C259" s="137"/>
      <c r="D259" s="36">
        <v>1205</v>
      </c>
      <c r="E259" s="39">
        <v>25</v>
      </c>
      <c r="F259" s="35">
        <f t="shared" si="4"/>
        <v>1230</v>
      </c>
      <c r="I259" s="115">
        <v>25</v>
      </c>
      <c r="J259" s="111">
        <f t="shared" si="3"/>
        <v>0</v>
      </c>
    </row>
    <row r="260" spans="1:10" s="86" customFormat="1" ht="15.75">
      <c r="A260" s="172" t="s">
        <v>26</v>
      </c>
      <c r="B260" s="136" t="s">
        <v>421</v>
      </c>
      <c r="C260" s="137"/>
      <c r="D260" s="36"/>
      <c r="E260" s="39">
        <v>425</v>
      </c>
      <c r="F260" s="35">
        <f>SUM(D260:E260)</f>
        <v>425</v>
      </c>
      <c r="I260" s="113"/>
      <c r="J260" s="111">
        <f t="shared" si="3"/>
        <v>425</v>
      </c>
    </row>
    <row r="261" spans="1:10" s="89" customFormat="1" ht="17.25" customHeight="1">
      <c r="A261" s="195"/>
      <c r="B261" s="136" t="s">
        <v>95</v>
      </c>
      <c r="C261" s="137"/>
      <c r="D261" s="36">
        <v>176.6</v>
      </c>
      <c r="E261" s="39">
        <f>-5.6-6.3</f>
        <v>-11.899999999999999</v>
      </c>
      <c r="F261" s="35">
        <f t="shared" si="4"/>
        <v>164.7</v>
      </c>
      <c r="I261" s="115">
        <v>-6.3</v>
      </c>
      <c r="J261" s="111">
        <f t="shared" si="3"/>
        <v>-5.5999999999999988</v>
      </c>
    </row>
    <row r="262" spans="1:10" ht="15" customHeight="1">
      <c r="A262" s="7" t="s">
        <v>6</v>
      </c>
      <c r="B262" s="182"/>
      <c r="C262" s="182"/>
      <c r="D262" s="8"/>
      <c r="E262" s="9">
        <f>SUM(E156:E261)</f>
        <v>-295499.03334000002</v>
      </c>
      <c r="F262" s="8"/>
      <c r="G262" s="106">
        <f>383.5+563.1-7532+4000-3-9000-13-200-336+40.2+398+265-7+13669.4+30-64+11397+1632+160-76-10+600+80+210.2+4277.6+1882.3+1316-720-34670.811-67590.071-29968.90679-4673.969-373.04955+139.253+588+500-36+2257+977.6+100+269.1+1-1109-723+385.1+1099.125-1+0.05753-6-924.685-1289+6+99.34459-300+24.86973+2422.5+4864+1250+1.58258+70.6+1166.2-11.2+24.86973-328.9-1316+142-4.8-122510.2+192-97440.34342+41999.99999-4+56+15-11000-215.7-5.3-335-1500-418.5-306.3-117.4-48-100+115-133-2-7+1827-363.5-211.7-224-1-55-710.3-1+0.048+0.052</f>
        <v>-295499.03360999993</v>
      </c>
      <c r="H262" s="106">
        <f>G262-E262</f>
        <v>-2.6999990222975612E-4</v>
      </c>
      <c r="I262" s="110">
        <f>SUM(I156:I261)</f>
        <v>-157616.69400000002</v>
      </c>
      <c r="J262" s="111">
        <f>E262-I262</f>
        <v>-137882.33934000001</v>
      </c>
    </row>
    <row r="263" spans="1:10" ht="9.75" customHeight="1">
      <c r="A263" s="2"/>
      <c r="B263" s="3"/>
      <c r="C263" s="3"/>
      <c r="D263" s="4"/>
      <c r="E263" s="1"/>
      <c r="F263" s="4"/>
      <c r="I263" s="104"/>
    </row>
    <row r="264" spans="1:10" ht="22.5" customHeight="1">
      <c r="A264" s="216" t="s">
        <v>29</v>
      </c>
      <c r="B264" s="216"/>
      <c r="C264" s="216"/>
      <c r="D264" s="216"/>
      <c r="E264" s="216"/>
      <c r="F264" s="216"/>
      <c r="I264" s="104"/>
    </row>
    <row r="265" spans="1:10" ht="18.75" customHeight="1">
      <c r="A265" s="252" t="s">
        <v>123</v>
      </c>
      <c r="B265" s="252"/>
      <c r="C265" s="252"/>
      <c r="D265" s="252"/>
      <c r="E265" s="252"/>
      <c r="F265" s="252"/>
    </row>
    <row r="266" spans="1:10" ht="17.25" customHeight="1">
      <c r="A266" s="233" t="s">
        <v>422</v>
      </c>
      <c r="B266" s="233"/>
      <c r="C266" s="233"/>
      <c r="D266" s="233"/>
      <c r="E266" s="233"/>
      <c r="F266" s="233"/>
    </row>
    <row r="267" spans="1:10" s="86" customFormat="1" ht="19.5" customHeight="1">
      <c r="A267" s="215" t="s">
        <v>453</v>
      </c>
      <c r="B267" s="215"/>
      <c r="C267" s="215"/>
      <c r="D267" s="215"/>
      <c r="E267" s="215"/>
      <c r="F267" s="215"/>
    </row>
    <row r="268" spans="1:10" ht="16.5" customHeight="1">
      <c r="A268" s="233" t="s">
        <v>424</v>
      </c>
      <c r="B268" s="233"/>
      <c r="C268" s="233"/>
      <c r="D268" s="233"/>
      <c r="E268" s="233"/>
      <c r="F268" s="233"/>
    </row>
    <row r="269" spans="1:10" s="86" customFormat="1" ht="16.5" customHeight="1">
      <c r="A269" s="215" t="s">
        <v>448</v>
      </c>
      <c r="B269" s="215"/>
      <c r="C269" s="215"/>
      <c r="D269" s="215"/>
      <c r="E269" s="215"/>
      <c r="F269" s="215"/>
    </row>
    <row r="270" spans="1:10" s="86" customFormat="1" ht="34.5" customHeight="1">
      <c r="A270" s="215" t="s">
        <v>593</v>
      </c>
      <c r="B270" s="215"/>
      <c r="C270" s="215"/>
      <c r="D270" s="215"/>
      <c r="E270" s="215"/>
      <c r="F270" s="215"/>
    </row>
    <row r="271" spans="1:10" s="86" customFormat="1" ht="52.5" customHeight="1">
      <c r="A271" s="215" t="s">
        <v>538</v>
      </c>
      <c r="B271" s="215"/>
      <c r="C271" s="215"/>
      <c r="D271" s="215"/>
      <c r="E271" s="215"/>
      <c r="F271" s="215"/>
    </row>
    <row r="272" spans="1:10" s="86" customFormat="1" ht="19.5" customHeight="1">
      <c r="A272" s="215" t="s">
        <v>537</v>
      </c>
      <c r="B272" s="215"/>
      <c r="C272" s="215"/>
      <c r="D272" s="215"/>
      <c r="E272" s="215"/>
      <c r="F272" s="215"/>
    </row>
    <row r="273" spans="1:6" ht="17.25" customHeight="1">
      <c r="A273" s="215" t="s">
        <v>594</v>
      </c>
      <c r="B273" s="215"/>
      <c r="C273" s="215"/>
      <c r="D273" s="215"/>
      <c r="E273" s="215"/>
      <c r="F273" s="215"/>
    </row>
    <row r="274" spans="1:6" ht="19.5" customHeight="1">
      <c r="A274" s="232" t="s">
        <v>651</v>
      </c>
      <c r="B274" s="232"/>
      <c r="C274" s="232"/>
      <c r="D274" s="232"/>
      <c r="E274" s="232"/>
      <c r="F274" s="232"/>
    </row>
    <row r="275" spans="1:6" ht="33.75" customHeight="1">
      <c r="A275" s="215" t="s">
        <v>575</v>
      </c>
      <c r="B275" s="215"/>
      <c r="C275" s="215"/>
      <c r="D275" s="215"/>
      <c r="E275" s="215"/>
      <c r="F275" s="215"/>
    </row>
    <row r="276" spans="1:6" ht="16.5" customHeight="1">
      <c r="A276" s="215" t="s">
        <v>595</v>
      </c>
      <c r="B276" s="215"/>
      <c r="C276" s="215"/>
      <c r="D276" s="215"/>
      <c r="E276" s="215"/>
      <c r="F276" s="215"/>
    </row>
    <row r="277" spans="1:6" ht="18.75" customHeight="1">
      <c r="A277" s="232" t="s">
        <v>625</v>
      </c>
      <c r="B277" s="232"/>
      <c r="C277" s="232"/>
      <c r="D277" s="232"/>
      <c r="E277" s="232"/>
      <c r="F277" s="232"/>
    </row>
    <row r="278" spans="1:6" ht="19.5" customHeight="1">
      <c r="A278" s="232" t="s">
        <v>646</v>
      </c>
      <c r="B278" s="232"/>
      <c r="C278" s="232"/>
      <c r="D278" s="232"/>
      <c r="E278" s="232"/>
      <c r="F278" s="232"/>
    </row>
    <row r="279" spans="1:6" ht="23.25" customHeight="1">
      <c r="A279" s="141" t="s">
        <v>116</v>
      </c>
      <c r="B279" s="133"/>
      <c r="C279" s="133"/>
      <c r="D279" s="133"/>
      <c r="E279" s="133"/>
      <c r="F279" s="133"/>
    </row>
    <row r="280" spans="1:6" ht="23.25" customHeight="1">
      <c r="A280" s="215" t="s">
        <v>596</v>
      </c>
      <c r="B280" s="215"/>
      <c r="C280" s="215"/>
      <c r="D280" s="215"/>
      <c r="E280" s="215"/>
      <c r="F280" s="215"/>
    </row>
    <row r="281" spans="1:6" ht="23.25" customHeight="1">
      <c r="A281" s="141" t="s">
        <v>572</v>
      </c>
      <c r="B281" s="133"/>
      <c r="C281" s="133"/>
      <c r="D281" s="133"/>
      <c r="E281" s="133"/>
      <c r="F281" s="133"/>
    </row>
    <row r="282" spans="1:6" ht="23.25" customHeight="1">
      <c r="A282" s="215" t="s">
        <v>597</v>
      </c>
      <c r="B282" s="215"/>
      <c r="C282" s="215"/>
      <c r="D282" s="215"/>
      <c r="E282" s="215"/>
      <c r="F282" s="215"/>
    </row>
    <row r="283" spans="1:6" ht="33" customHeight="1">
      <c r="A283" s="233" t="s">
        <v>576</v>
      </c>
      <c r="B283" s="233"/>
      <c r="C283" s="233"/>
      <c r="D283" s="233"/>
      <c r="E283" s="233"/>
      <c r="F283" s="233"/>
    </row>
    <row r="284" spans="1:6" ht="19.5" customHeight="1">
      <c r="A284" s="215" t="s">
        <v>577</v>
      </c>
      <c r="B284" s="215"/>
      <c r="C284" s="215"/>
      <c r="D284" s="215"/>
      <c r="E284" s="215"/>
      <c r="F284" s="215"/>
    </row>
    <row r="285" spans="1:6" s="86" customFormat="1" ht="20.25" customHeight="1">
      <c r="A285" s="142" t="s">
        <v>31</v>
      </c>
      <c r="B285" s="132"/>
      <c r="C285" s="132"/>
      <c r="D285" s="132"/>
      <c r="E285" s="132"/>
      <c r="F285" s="132"/>
    </row>
    <row r="286" spans="1:6" ht="38.25" customHeight="1">
      <c r="A286" s="208" t="s">
        <v>482</v>
      </c>
      <c r="B286" s="208"/>
      <c r="C286" s="208"/>
      <c r="D286" s="208"/>
      <c r="E286" s="208"/>
      <c r="F286" s="208"/>
    </row>
    <row r="287" spans="1:6" ht="31.5" customHeight="1">
      <c r="A287" s="208" t="s">
        <v>598</v>
      </c>
      <c r="B287" s="208"/>
      <c r="C287" s="208"/>
      <c r="D287" s="208"/>
      <c r="E287" s="208"/>
      <c r="F287" s="208"/>
    </row>
    <row r="288" spans="1:6" ht="54" customHeight="1">
      <c r="A288" s="208" t="s">
        <v>566</v>
      </c>
      <c r="B288" s="208"/>
      <c r="C288" s="208"/>
      <c r="D288" s="208"/>
      <c r="E288" s="208"/>
      <c r="F288" s="208"/>
    </row>
    <row r="289" spans="1:6" ht="24" customHeight="1">
      <c r="A289" s="208" t="s">
        <v>569</v>
      </c>
      <c r="B289" s="208"/>
      <c r="C289" s="208"/>
      <c r="D289" s="208"/>
      <c r="E289" s="208"/>
      <c r="F289" s="208"/>
    </row>
    <row r="290" spans="1:6" ht="53.25" customHeight="1">
      <c r="A290" s="208" t="s">
        <v>570</v>
      </c>
      <c r="B290" s="208"/>
      <c r="C290" s="208"/>
      <c r="D290" s="208"/>
      <c r="E290" s="208"/>
      <c r="F290" s="208"/>
    </row>
    <row r="291" spans="1:6" ht="19.5" customHeight="1">
      <c r="A291" s="232" t="s">
        <v>650</v>
      </c>
      <c r="B291" s="232"/>
      <c r="C291" s="232"/>
      <c r="D291" s="232"/>
      <c r="E291" s="232"/>
      <c r="F291" s="232"/>
    </row>
    <row r="292" spans="1:6" ht="22.5" customHeight="1">
      <c r="A292" s="235" t="s">
        <v>500</v>
      </c>
      <c r="B292" s="235"/>
      <c r="C292" s="235"/>
      <c r="D292" s="235"/>
      <c r="E292" s="235"/>
      <c r="F292" s="235"/>
    </row>
    <row r="293" spans="1:6" ht="22.5" customHeight="1">
      <c r="A293" s="208" t="s">
        <v>648</v>
      </c>
      <c r="B293" s="208"/>
      <c r="C293" s="208"/>
      <c r="D293" s="208"/>
      <c r="E293" s="208"/>
      <c r="F293" s="208"/>
    </row>
    <row r="294" spans="1:6" ht="22.5" customHeight="1">
      <c r="A294" s="142" t="s">
        <v>25</v>
      </c>
      <c r="B294" s="132"/>
      <c r="C294" s="132"/>
      <c r="D294" s="132"/>
      <c r="E294" s="132"/>
      <c r="F294" s="132"/>
    </row>
    <row r="295" spans="1:6" s="86" customFormat="1" ht="15.75" customHeight="1">
      <c r="A295" s="208" t="s">
        <v>578</v>
      </c>
      <c r="B295" s="208"/>
      <c r="C295" s="208"/>
      <c r="D295" s="208"/>
      <c r="E295" s="208"/>
      <c r="F295" s="208"/>
    </row>
    <row r="296" spans="1:6" ht="15.75" customHeight="1">
      <c r="A296" s="208" t="s">
        <v>571</v>
      </c>
      <c r="B296" s="208"/>
      <c r="C296" s="208"/>
      <c r="D296" s="208"/>
      <c r="E296" s="208"/>
      <c r="F296" s="208"/>
    </row>
    <row r="297" spans="1:6" ht="15.75" customHeight="1">
      <c r="A297" s="208" t="s">
        <v>644</v>
      </c>
      <c r="B297" s="208"/>
      <c r="C297" s="208"/>
      <c r="D297" s="208"/>
      <c r="E297" s="208"/>
      <c r="F297" s="208"/>
    </row>
    <row r="298" spans="1:6" ht="22.5" customHeight="1">
      <c r="A298" s="142" t="s">
        <v>579</v>
      </c>
      <c r="B298" s="132"/>
      <c r="C298" s="132"/>
      <c r="D298" s="132"/>
      <c r="E298" s="132"/>
      <c r="F298" s="132"/>
    </row>
    <row r="299" spans="1:6" ht="19.5" customHeight="1">
      <c r="A299" s="215" t="s">
        <v>599</v>
      </c>
      <c r="B299" s="215"/>
      <c r="C299" s="215"/>
      <c r="D299" s="215"/>
      <c r="E299" s="215"/>
      <c r="F299" s="215"/>
    </row>
    <row r="300" spans="1:6" ht="24" customHeight="1">
      <c r="A300" s="141" t="s">
        <v>14</v>
      </c>
      <c r="B300" s="133"/>
      <c r="C300" s="133"/>
      <c r="D300" s="133"/>
      <c r="E300" s="133"/>
      <c r="F300" s="133"/>
    </row>
    <row r="301" spans="1:6" ht="18" customHeight="1">
      <c r="A301" s="215" t="s">
        <v>600</v>
      </c>
      <c r="B301" s="215"/>
      <c r="C301" s="215"/>
      <c r="D301" s="215"/>
      <c r="E301" s="215"/>
      <c r="F301" s="215"/>
    </row>
    <row r="302" spans="1:6" ht="19.5" customHeight="1">
      <c r="A302" s="232" t="s">
        <v>649</v>
      </c>
      <c r="B302" s="232"/>
      <c r="C302" s="232"/>
      <c r="D302" s="232"/>
      <c r="E302" s="232"/>
      <c r="F302" s="232"/>
    </row>
    <row r="303" spans="1:6" ht="22.5" customHeight="1">
      <c r="A303" s="142" t="s">
        <v>397</v>
      </c>
      <c r="B303" s="132"/>
      <c r="C303" s="132"/>
      <c r="D303" s="132"/>
      <c r="E303" s="132"/>
      <c r="F303" s="132"/>
    </row>
    <row r="304" spans="1:6" ht="17.25" customHeight="1">
      <c r="A304" s="215" t="s">
        <v>601</v>
      </c>
      <c r="B304" s="215"/>
      <c r="C304" s="215"/>
      <c r="D304" s="215"/>
      <c r="E304" s="215"/>
      <c r="F304" s="215"/>
    </row>
    <row r="305" spans="1:7" ht="19.5" customHeight="1">
      <c r="A305" s="232" t="s">
        <v>647</v>
      </c>
      <c r="B305" s="232"/>
      <c r="C305" s="232"/>
      <c r="D305" s="232"/>
      <c r="E305" s="232"/>
      <c r="F305" s="232"/>
    </row>
    <row r="306" spans="1:7" ht="22.5" customHeight="1">
      <c r="A306" s="142" t="s">
        <v>26</v>
      </c>
      <c r="B306" s="132"/>
      <c r="C306" s="132"/>
      <c r="D306" s="132"/>
      <c r="E306" s="132"/>
      <c r="F306" s="132"/>
    </row>
    <row r="307" spans="1:7" ht="18" customHeight="1">
      <c r="A307" s="215" t="s">
        <v>602</v>
      </c>
      <c r="B307" s="215"/>
      <c r="C307" s="215"/>
      <c r="D307" s="215"/>
      <c r="E307" s="215"/>
      <c r="F307" s="215"/>
    </row>
    <row r="308" spans="1:7" ht="19.5" customHeight="1">
      <c r="A308" s="234" t="s">
        <v>32</v>
      </c>
      <c r="B308" s="234"/>
      <c r="C308" s="234"/>
      <c r="D308" s="234"/>
      <c r="E308" s="234"/>
      <c r="F308" s="234"/>
    </row>
    <row r="309" spans="1:7" ht="33" customHeight="1">
      <c r="A309" s="233" t="s">
        <v>603</v>
      </c>
      <c r="B309" s="233"/>
      <c r="C309" s="233"/>
      <c r="D309" s="233"/>
      <c r="E309" s="233"/>
      <c r="F309" s="233"/>
    </row>
    <row r="310" spans="1:7" ht="16.5" customHeight="1">
      <c r="A310" s="233" t="s">
        <v>308</v>
      </c>
      <c r="B310" s="233"/>
      <c r="C310" s="233"/>
      <c r="D310" s="233"/>
      <c r="E310" s="233"/>
      <c r="F310" s="233"/>
    </row>
    <row r="311" spans="1:7" s="86" customFormat="1" ht="17.25" customHeight="1">
      <c r="A311" s="208" t="s">
        <v>449</v>
      </c>
      <c r="B311" s="208"/>
      <c r="C311" s="208"/>
      <c r="D311" s="208"/>
      <c r="E311" s="208"/>
      <c r="F311" s="208"/>
    </row>
    <row r="312" spans="1:7" s="86" customFormat="1" ht="17.25" customHeight="1">
      <c r="A312" s="208" t="s">
        <v>478</v>
      </c>
      <c r="B312" s="208"/>
      <c r="C312" s="208"/>
      <c r="D312" s="208"/>
      <c r="E312" s="208"/>
      <c r="F312" s="208"/>
    </row>
    <row r="313" spans="1:7" s="86" customFormat="1" ht="17.25" customHeight="1">
      <c r="A313" s="208" t="s">
        <v>450</v>
      </c>
      <c r="B313" s="208"/>
      <c r="C313" s="208"/>
      <c r="D313" s="208"/>
      <c r="E313" s="208"/>
      <c r="F313" s="208"/>
    </row>
    <row r="314" spans="1:7" s="86" customFormat="1" ht="36" customHeight="1">
      <c r="A314" s="208" t="s">
        <v>543</v>
      </c>
      <c r="B314" s="208"/>
      <c r="C314" s="208"/>
      <c r="D314" s="208"/>
      <c r="E314" s="208"/>
      <c r="F314" s="208"/>
    </row>
    <row r="315" spans="1:7" s="86" customFormat="1" ht="16.5" customHeight="1">
      <c r="A315" s="208" t="s">
        <v>549</v>
      </c>
      <c r="B315" s="208"/>
      <c r="C315" s="208"/>
      <c r="D315" s="208"/>
      <c r="E315" s="208"/>
      <c r="F315" s="208"/>
    </row>
    <row r="316" spans="1:7" s="86" customFormat="1" ht="21" customHeight="1">
      <c r="A316" s="142" t="s">
        <v>454</v>
      </c>
      <c r="B316" s="132"/>
      <c r="C316" s="132"/>
      <c r="D316" s="132"/>
      <c r="E316" s="132"/>
      <c r="F316" s="132"/>
    </row>
    <row r="317" spans="1:7" s="86" customFormat="1" ht="18.75" customHeight="1">
      <c r="A317" s="208" t="s">
        <v>455</v>
      </c>
      <c r="B317" s="208"/>
      <c r="C317" s="208"/>
      <c r="D317" s="208"/>
      <c r="E317" s="208"/>
      <c r="F317" s="208"/>
      <c r="G317" s="94"/>
    </row>
    <row r="318" spans="1:7" s="86" customFormat="1" ht="30" customHeight="1">
      <c r="A318" s="208" t="s">
        <v>504</v>
      </c>
      <c r="B318" s="208"/>
      <c r="C318" s="208"/>
      <c r="D318" s="208"/>
      <c r="E318" s="208"/>
      <c r="F318" s="208"/>
    </row>
    <row r="319" spans="1:7" s="86" customFormat="1" ht="18" customHeight="1">
      <c r="A319" s="208" t="s">
        <v>505</v>
      </c>
      <c r="B319" s="208"/>
      <c r="C319" s="208"/>
      <c r="D319" s="208"/>
      <c r="E319" s="208"/>
      <c r="F319" s="208"/>
    </row>
    <row r="320" spans="1:7" s="86" customFormat="1" ht="18" customHeight="1">
      <c r="A320" s="208" t="s">
        <v>534</v>
      </c>
      <c r="B320" s="208"/>
      <c r="C320" s="208"/>
      <c r="D320" s="208"/>
      <c r="E320" s="208"/>
      <c r="F320" s="208"/>
    </row>
    <row r="321" spans="1:10" s="86" customFormat="1" ht="20.25" customHeight="1">
      <c r="A321" s="235" t="s">
        <v>25</v>
      </c>
      <c r="B321" s="235"/>
      <c r="C321" s="235"/>
      <c r="D321" s="235"/>
      <c r="E321" s="235"/>
      <c r="F321" s="235"/>
    </row>
    <row r="322" spans="1:10" s="86" customFormat="1" ht="16.5" customHeight="1">
      <c r="A322" s="208" t="s">
        <v>451</v>
      </c>
      <c r="B322" s="208"/>
      <c r="C322" s="208"/>
      <c r="D322" s="208"/>
      <c r="E322" s="208"/>
      <c r="F322" s="208"/>
    </row>
    <row r="323" spans="1:10" s="86" customFormat="1" ht="20.25" customHeight="1">
      <c r="A323" s="142" t="s">
        <v>8</v>
      </c>
      <c r="B323" s="132"/>
      <c r="C323" s="132"/>
      <c r="D323" s="132"/>
      <c r="E323" s="132"/>
      <c r="F323" s="132"/>
    </row>
    <row r="324" spans="1:10" s="86" customFormat="1" ht="20.25" customHeight="1">
      <c r="A324" s="208" t="s">
        <v>536</v>
      </c>
      <c r="B324" s="208"/>
      <c r="C324" s="208"/>
      <c r="D324" s="208"/>
      <c r="E324" s="208"/>
      <c r="F324" s="208"/>
    </row>
    <row r="325" spans="1:10" s="86" customFormat="1" ht="20.25" customHeight="1">
      <c r="A325" s="208" t="s">
        <v>544</v>
      </c>
      <c r="B325" s="208"/>
      <c r="C325" s="208"/>
      <c r="D325" s="208"/>
      <c r="E325" s="208"/>
      <c r="F325" s="208"/>
    </row>
    <row r="326" spans="1:10" s="86" customFormat="1" ht="20.25" customHeight="1">
      <c r="A326" s="232" t="s">
        <v>545</v>
      </c>
      <c r="B326" s="232"/>
      <c r="C326" s="232"/>
      <c r="D326" s="232"/>
      <c r="E326" s="232"/>
      <c r="F326" s="232"/>
    </row>
    <row r="327" spans="1:10" s="86" customFormat="1" ht="20.25" customHeight="1">
      <c r="A327" s="235" t="s">
        <v>14</v>
      </c>
      <c r="B327" s="235"/>
      <c r="C327" s="235"/>
      <c r="D327" s="235"/>
      <c r="E327" s="235"/>
      <c r="F327" s="235"/>
    </row>
    <row r="328" spans="1:10" s="86" customFormat="1" ht="36" customHeight="1">
      <c r="A328" s="208" t="s">
        <v>535</v>
      </c>
      <c r="B328" s="208"/>
      <c r="C328" s="208"/>
      <c r="D328" s="208"/>
      <c r="E328" s="208"/>
      <c r="F328" s="208"/>
    </row>
    <row r="329" spans="1:10" s="82" customFormat="1" ht="18" customHeight="1">
      <c r="A329" s="81" t="s">
        <v>309</v>
      </c>
      <c r="B329" s="81"/>
      <c r="C329" s="81"/>
      <c r="D329" s="81"/>
      <c r="E329" s="81"/>
      <c r="F329" s="81"/>
    </row>
    <row r="330" spans="1:10" s="86" customFormat="1" ht="18" customHeight="1">
      <c r="A330" s="211" t="s">
        <v>125</v>
      </c>
      <c r="B330" s="211"/>
      <c r="C330" s="211"/>
      <c r="D330" s="211"/>
      <c r="E330" s="211"/>
      <c r="F330" s="211"/>
    </row>
    <row r="331" spans="1:10" s="86" customFormat="1" ht="53.25" customHeight="1">
      <c r="A331" s="210" t="s">
        <v>383</v>
      </c>
      <c r="B331" s="210"/>
      <c r="C331" s="210"/>
      <c r="D331" s="210"/>
      <c r="E331" s="210"/>
      <c r="F331" s="210"/>
    </row>
    <row r="332" spans="1:10" s="86" customFormat="1" ht="84.75" customHeight="1">
      <c r="A332" s="210" t="s">
        <v>427</v>
      </c>
      <c r="B332" s="210"/>
      <c r="C332" s="210"/>
      <c r="D332" s="210"/>
      <c r="E332" s="210"/>
      <c r="F332" s="210"/>
    </row>
    <row r="333" spans="1:10" s="86" customFormat="1" ht="19.5" customHeight="1">
      <c r="A333" s="210" t="s">
        <v>565</v>
      </c>
      <c r="B333" s="210"/>
      <c r="C333" s="210"/>
      <c r="D333" s="210"/>
      <c r="E333" s="210"/>
      <c r="F333" s="210"/>
    </row>
    <row r="334" spans="1:10" s="86" customFormat="1" ht="19.5" customHeight="1">
      <c r="A334" s="210" t="s">
        <v>621</v>
      </c>
      <c r="B334" s="210"/>
      <c r="C334" s="210"/>
      <c r="D334" s="210"/>
      <c r="E334" s="210"/>
      <c r="F334" s="210"/>
    </row>
    <row r="335" spans="1:10" s="86" customFormat="1" ht="72" customHeight="1">
      <c r="A335" s="211" t="s">
        <v>452</v>
      </c>
      <c r="B335" s="211"/>
      <c r="C335" s="211"/>
      <c r="D335" s="211"/>
      <c r="E335" s="211"/>
      <c r="F335" s="211"/>
      <c r="J335" s="92" t="s">
        <v>418</v>
      </c>
    </row>
    <row r="336" spans="1:10" s="93" customFormat="1" ht="18" customHeight="1">
      <c r="A336" s="210" t="s">
        <v>385</v>
      </c>
      <c r="B336" s="210"/>
      <c r="C336" s="210"/>
      <c r="D336" s="210"/>
      <c r="E336" s="210"/>
      <c r="F336" s="210"/>
    </row>
    <row r="337" spans="1:6" s="93" customFormat="1" ht="18" customHeight="1">
      <c r="A337" s="210" t="s">
        <v>386</v>
      </c>
      <c r="B337" s="210"/>
      <c r="C337" s="210"/>
      <c r="D337" s="210"/>
      <c r="E337" s="210"/>
      <c r="F337" s="210"/>
    </row>
    <row r="338" spans="1:6" s="93" customFormat="1" ht="18" customHeight="1">
      <c r="A338" s="210" t="s">
        <v>387</v>
      </c>
      <c r="B338" s="210"/>
      <c r="C338" s="210"/>
      <c r="D338" s="210"/>
      <c r="E338" s="210"/>
      <c r="F338" s="210"/>
    </row>
    <row r="339" spans="1:6" s="86" customFormat="1" ht="17.25" customHeight="1">
      <c r="A339" s="210" t="s">
        <v>388</v>
      </c>
      <c r="B339" s="210"/>
      <c r="C339" s="210"/>
      <c r="D339" s="210"/>
      <c r="E339" s="210"/>
      <c r="F339" s="210"/>
    </row>
    <row r="340" spans="1:6" s="93" customFormat="1" ht="18" customHeight="1">
      <c r="A340" s="210" t="s">
        <v>390</v>
      </c>
      <c r="B340" s="210"/>
      <c r="C340" s="210"/>
      <c r="D340" s="210"/>
      <c r="E340" s="210"/>
      <c r="F340" s="210"/>
    </row>
    <row r="341" spans="1:6" s="93" customFormat="1" ht="18" customHeight="1">
      <c r="A341" s="210" t="s">
        <v>391</v>
      </c>
      <c r="B341" s="210"/>
      <c r="C341" s="210"/>
      <c r="D341" s="210"/>
      <c r="E341" s="210"/>
      <c r="F341" s="210"/>
    </row>
    <row r="342" spans="1:6" s="86" customFormat="1" ht="17.25" customHeight="1">
      <c r="A342" s="210" t="s">
        <v>389</v>
      </c>
      <c r="B342" s="210"/>
      <c r="C342" s="210"/>
      <c r="D342" s="210"/>
      <c r="E342" s="210"/>
      <c r="F342" s="210"/>
    </row>
    <row r="343" spans="1:6" s="86" customFormat="1" ht="17.25" customHeight="1">
      <c r="A343" s="210" t="s">
        <v>392</v>
      </c>
      <c r="B343" s="210"/>
      <c r="C343" s="210"/>
      <c r="D343" s="210"/>
      <c r="E343" s="210"/>
      <c r="F343" s="210"/>
    </row>
    <row r="344" spans="1:6" s="86" customFormat="1" ht="17.25" customHeight="1">
      <c r="A344" s="210" t="s">
        <v>393</v>
      </c>
      <c r="B344" s="210"/>
      <c r="C344" s="210"/>
      <c r="D344" s="210"/>
      <c r="E344" s="210"/>
      <c r="F344" s="210"/>
    </row>
    <row r="345" spans="1:6" s="86" customFormat="1" ht="17.25" customHeight="1">
      <c r="A345" s="210" t="s">
        <v>394</v>
      </c>
      <c r="B345" s="210"/>
      <c r="C345" s="210"/>
      <c r="D345" s="210"/>
      <c r="E345" s="210"/>
      <c r="F345" s="210"/>
    </row>
    <row r="346" spans="1:6" s="86" customFormat="1" ht="17.25" customHeight="1">
      <c r="A346" s="210" t="s">
        <v>395</v>
      </c>
      <c r="B346" s="210"/>
      <c r="C346" s="210"/>
      <c r="D346" s="210"/>
      <c r="E346" s="210"/>
      <c r="F346" s="210"/>
    </row>
    <row r="347" spans="1:6" s="86" customFormat="1" ht="17.25" customHeight="1">
      <c r="A347" s="210" t="s">
        <v>396</v>
      </c>
      <c r="B347" s="210"/>
      <c r="C347" s="210"/>
      <c r="D347" s="210"/>
      <c r="E347" s="210"/>
      <c r="F347" s="210"/>
    </row>
    <row r="348" spans="1:6" s="86" customFormat="1" ht="24.75" customHeight="1">
      <c r="A348" s="236" t="s">
        <v>581</v>
      </c>
      <c r="B348" s="236"/>
      <c r="C348" s="236"/>
      <c r="D348" s="236"/>
      <c r="E348" s="236"/>
      <c r="F348" s="236"/>
    </row>
    <row r="349" spans="1:6" s="97" customFormat="1" ht="17.25" customHeight="1">
      <c r="A349" s="142" t="s">
        <v>31</v>
      </c>
      <c r="B349" s="142"/>
      <c r="C349" s="142"/>
      <c r="D349" s="142"/>
      <c r="E349" s="142"/>
      <c r="F349" s="142"/>
    </row>
    <row r="350" spans="1:6" ht="22.5" customHeight="1">
      <c r="A350" s="208" t="s">
        <v>483</v>
      </c>
      <c r="B350" s="208"/>
      <c r="C350" s="208"/>
      <c r="D350" s="208"/>
      <c r="E350" s="208"/>
      <c r="F350" s="208"/>
    </row>
    <row r="351" spans="1:6" ht="37.5" customHeight="1">
      <c r="A351" s="210" t="s">
        <v>484</v>
      </c>
      <c r="B351" s="210"/>
      <c r="C351" s="210"/>
      <c r="D351" s="210"/>
      <c r="E351" s="210"/>
      <c r="F351" s="210"/>
    </row>
    <row r="352" spans="1:6" ht="16.5" customHeight="1">
      <c r="A352" s="210" t="s">
        <v>485</v>
      </c>
      <c r="B352" s="210"/>
      <c r="C352" s="210"/>
      <c r="D352" s="210"/>
      <c r="E352" s="210"/>
      <c r="F352" s="210"/>
    </row>
    <row r="353" spans="1:6" ht="22.5" customHeight="1">
      <c r="A353" s="142" t="s">
        <v>553</v>
      </c>
      <c r="B353" s="135"/>
      <c r="C353" s="135"/>
      <c r="D353" s="135"/>
      <c r="E353" s="135"/>
      <c r="F353" s="135"/>
    </row>
    <row r="354" spans="1:6" s="69" customFormat="1" ht="22.5" customHeight="1">
      <c r="A354" s="210" t="s">
        <v>554</v>
      </c>
      <c r="B354" s="210"/>
      <c r="C354" s="210"/>
      <c r="D354" s="210"/>
      <c r="E354" s="210"/>
      <c r="F354" s="210"/>
    </row>
    <row r="355" spans="1:6" s="86" customFormat="1" ht="17.25" customHeight="1">
      <c r="A355" s="134" t="s">
        <v>561</v>
      </c>
      <c r="B355" s="135"/>
      <c r="C355" s="135"/>
      <c r="D355" s="135"/>
      <c r="E355" s="135"/>
      <c r="F355" s="135"/>
    </row>
    <row r="356" spans="1:6" s="69" customFormat="1" ht="22.5" customHeight="1">
      <c r="A356" s="210" t="s">
        <v>564</v>
      </c>
      <c r="B356" s="210"/>
      <c r="C356" s="210"/>
      <c r="D356" s="210"/>
      <c r="E356" s="210"/>
      <c r="F356" s="210"/>
    </row>
    <row r="357" spans="1:6" s="95" customFormat="1" ht="17.25" customHeight="1">
      <c r="A357" s="142" t="s">
        <v>605</v>
      </c>
      <c r="B357" s="142"/>
      <c r="C357" s="142"/>
      <c r="D357" s="142"/>
      <c r="E357" s="142"/>
      <c r="F357" s="142"/>
    </row>
    <row r="358" spans="1:6" s="86" customFormat="1" ht="17.25" customHeight="1">
      <c r="A358" s="210" t="s">
        <v>606</v>
      </c>
      <c r="B358" s="210"/>
      <c r="C358" s="210"/>
      <c r="D358" s="210"/>
      <c r="E358" s="210"/>
      <c r="F358" s="210"/>
    </row>
    <row r="359" spans="1:6" s="69" customFormat="1" ht="22.5" customHeight="1">
      <c r="A359" s="210" t="s">
        <v>623</v>
      </c>
      <c r="B359" s="210"/>
      <c r="C359" s="210"/>
      <c r="D359" s="210"/>
      <c r="E359" s="210"/>
      <c r="F359" s="210"/>
    </row>
    <row r="360" spans="1:6" s="69" customFormat="1" ht="22.5" customHeight="1">
      <c r="A360" s="142" t="s">
        <v>8</v>
      </c>
      <c r="B360" s="135"/>
      <c r="C360" s="135"/>
      <c r="D360" s="135"/>
      <c r="E360" s="135"/>
      <c r="F360" s="135"/>
    </row>
    <row r="361" spans="1:6" s="69" customFormat="1" ht="16.5" customHeight="1">
      <c r="A361" s="210" t="s">
        <v>568</v>
      </c>
      <c r="B361" s="210"/>
      <c r="C361" s="210"/>
      <c r="D361" s="210"/>
      <c r="E361" s="210"/>
      <c r="F361" s="210"/>
    </row>
    <row r="362" spans="1:6" ht="22.5" customHeight="1">
      <c r="A362" s="142" t="s">
        <v>14</v>
      </c>
      <c r="B362" s="135"/>
      <c r="C362" s="135"/>
      <c r="D362" s="135"/>
      <c r="E362" s="135"/>
      <c r="F362" s="135"/>
    </row>
    <row r="363" spans="1:6" ht="33" customHeight="1">
      <c r="A363" s="210" t="s">
        <v>486</v>
      </c>
      <c r="B363" s="210"/>
      <c r="C363" s="210"/>
      <c r="D363" s="210"/>
      <c r="E363" s="210"/>
      <c r="F363" s="210"/>
    </row>
    <row r="364" spans="1:6" ht="17.25" customHeight="1">
      <c r="A364" s="210" t="s">
        <v>487</v>
      </c>
      <c r="B364" s="210"/>
      <c r="C364" s="210"/>
      <c r="D364" s="210"/>
      <c r="E364" s="210"/>
      <c r="F364" s="210"/>
    </row>
    <row r="365" spans="1:6" ht="20.25" customHeight="1">
      <c r="A365" s="210" t="s">
        <v>501</v>
      </c>
      <c r="B365" s="210"/>
      <c r="C365" s="210"/>
      <c r="D365" s="210"/>
      <c r="E365" s="210"/>
      <c r="F365" s="210"/>
    </row>
    <row r="366" spans="1:6" ht="21" customHeight="1">
      <c r="A366" s="210" t="s">
        <v>509</v>
      </c>
      <c r="B366" s="210"/>
      <c r="C366" s="210"/>
      <c r="D366" s="210"/>
      <c r="E366" s="210"/>
      <c r="F366" s="210"/>
    </row>
    <row r="367" spans="1:6" ht="42.75" customHeight="1">
      <c r="A367" s="210" t="s">
        <v>510</v>
      </c>
      <c r="B367" s="210"/>
      <c r="C367" s="210"/>
      <c r="D367" s="210"/>
      <c r="E367" s="210"/>
      <c r="F367" s="210"/>
    </row>
    <row r="368" spans="1:6" s="69" customFormat="1" ht="22.5" customHeight="1">
      <c r="A368" s="210" t="s">
        <v>555</v>
      </c>
      <c r="B368" s="210"/>
      <c r="C368" s="210"/>
      <c r="D368" s="210"/>
      <c r="E368" s="210"/>
      <c r="F368" s="210"/>
    </row>
    <row r="369" spans="1:6" s="69" customFormat="1" ht="22.5" customHeight="1">
      <c r="A369" s="210" t="s">
        <v>556</v>
      </c>
      <c r="B369" s="210"/>
      <c r="C369" s="210"/>
      <c r="D369" s="210"/>
      <c r="E369" s="210"/>
      <c r="F369" s="210"/>
    </row>
    <row r="370" spans="1:6" ht="22.5" customHeight="1">
      <c r="A370" s="142" t="s">
        <v>488</v>
      </c>
      <c r="B370" s="135"/>
      <c r="C370" s="135"/>
      <c r="D370" s="135"/>
      <c r="E370" s="135"/>
      <c r="F370" s="135"/>
    </row>
    <row r="371" spans="1:6" ht="33.75" customHeight="1">
      <c r="A371" s="210" t="s">
        <v>489</v>
      </c>
      <c r="B371" s="210"/>
      <c r="C371" s="210"/>
      <c r="D371" s="210"/>
      <c r="E371" s="210"/>
      <c r="F371" s="210"/>
    </row>
    <row r="372" spans="1:6" ht="18.75" customHeight="1">
      <c r="A372" s="210" t="s">
        <v>502</v>
      </c>
      <c r="B372" s="210"/>
      <c r="C372" s="210"/>
      <c r="D372" s="210"/>
      <c r="E372" s="210"/>
      <c r="F372" s="210"/>
    </row>
    <row r="373" spans="1:6" ht="18.75" customHeight="1">
      <c r="A373" s="210" t="s">
        <v>490</v>
      </c>
      <c r="B373" s="210"/>
      <c r="C373" s="210"/>
      <c r="D373" s="210"/>
      <c r="E373" s="210"/>
      <c r="F373" s="210"/>
    </row>
    <row r="374" spans="1:6" ht="34.5" customHeight="1">
      <c r="A374" s="210" t="s">
        <v>508</v>
      </c>
      <c r="B374" s="210"/>
      <c r="C374" s="210"/>
      <c r="D374" s="210"/>
      <c r="E374" s="210"/>
      <c r="F374" s="210"/>
    </row>
    <row r="375" spans="1:6" ht="21" customHeight="1">
      <c r="A375" s="210" t="s">
        <v>507</v>
      </c>
      <c r="B375" s="210"/>
      <c r="C375" s="210"/>
      <c r="D375" s="210"/>
      <c r="E375" s="210"/>
      <c r="F375" s="210"/>
    </row>
    <row r="376" spans="1:6" ht="18.75" customHeight="1">
      <c r="A376" s="210" t="s">
        <v>503</v>
      </c>
      <c r="B376" s="210"/>
      <c r="C376" s="210"/>
      <c r="D376" s="210"/>
      <c r="E376" s="210"/>
      <c r="F376" s="210"/>
    </row>
    <row r="377" spans="1:6" s="69" customFormat="1" ht="22.5" customHeight="1">
      <c r="A377" s="210" t="s">
        <v>557</v>
      </c>
      <c r="B377" s="210"/>
      <c r="C377" s="210"/>
      <c r="D377" s="210"/>
      <c r="E377" s="210"/>
      <c r="F377" s="210"/>
    </row>
    <row r="378" spans="1:6" s="69" customFormat="1" ht="22.5" customHeight="1">
      <c r="A378" s="210" t="s">
        <v>558</v>
      </c>
      <c r="B378" s="210"/>
      <c r="C378" s="210"/>
      <c r="D378" s="210"/>
      <c r="E378" s="210"/>
      <c r="F378" s="210"/>
    </row>
    <row r="379" spans="1:6" ht="18.75" customHeight="1">
      <c r="A379" s="142" t="s">
        <v>26</v>
      </c>
      <c r="B379" s="135"/>
      <c r="C379" s="135"/>
      <c r="D379" s="135"/>
      <c r="E379" s="135"/>
      <c r="F379" s="135"/>
    </row>
    <row r="380" spans="1:6" ht="34.5" customHeight="1">
      <c r="A380" s="210" t="s">
        <v>491</v>
      </c>
      <c r="B380" s="210"/>
      <c r="C380" s="210"/>
      <c r="D380" s="210"/>
      <c r="E380" s="210"/>
      <c r="F380" s="210"/>
    </row>
    <row r="381" spans="1:6" ht="24" customHeight="1">
      <c r="A381" s="210" t="s">
        <v>580</v>
      </c>
      <c r="B381" s="210"/>
      <c r="C381" s="210"/>
      <c r="D381" s="210"/>
      <c r="E381" s="210"/>
      <c r="F381" s="210"/>
    </row>
    <row r="382" spans="1:6" ht="21" customHeight="1">
      <c r="A382" s="210" t="s">
        <v>551</v>
      </c>
      <c r="B382" s="210"/>
      <c r="C382" s="210"/>
      <c r="D382" s="210"/>
      <c r="E382" s="210"/>
      <c r="F382" s="210"/>
    </row>
    <row r="383" spans="1:6" ht="37.5" customHeight="1">
      <c r="A383" s="210" t="s">
        <v>492</v>
      </c>
      <c r="B383" s="210"/>
      <c r="C383" s="210"/>
      <c r="D383" s="210"/>
      <c r="E383" s="210"/>
      <c r="F383" s="210"/>
    </row>
    <row r="384" spans="1:6" ht="34.5" customHeight="1">
      <c r="A384" s="210" t="s">
        <v>493</v>
      </c>
      <c r="B384" s="210"/>
      <c r="C384" s="210"/>
      <c r="D384" s="210"/>
      <c r="E384" s="210"/>
      <c r="F384" s="210"/>
    </row>
    <row r="385" spans="1:6" ht="42.75" customHeight="1">
      <c r="A385" s="210" t="s">
        <v>511</v>
      </c>
      <c r="B385" s="210"/>
      <c r="C385" s="210"/>
      <c r="D385" s="210"/>
      <c r="E385" s="210"/>
      <c r="F385" s="210"/>
    </row>
    <row r="386" spans="1:6" ht="34.5" customHeight="1">
      <c r="A386" s="210" t="s">
        <v>539</v>
      </c>
      <c r="B386" s="210"/>
      <c r="C386" s="210"/>
      <c r="D386" s="210"/>
      <c r="E386" s="210"/>
      <c r="F386" s="210"/>
    </row>
    <row r="387" spans="1:6" ht="21.75" customHeight="1">
      <c r="A387" s="210" t="s">
        <v>494</v>
      </c>
      <c r="B387" s="210"/>
      <c r="C387" s="210"/>
      <c r="D387" s="210"/>
      <c r="E387" s="210"/>
      <c r="F387" s="210"/>
    </row>
    <row r="388" spans="1:6" ht="21.75" customHeight="1">
      <c r="A388" s="210" t="s">
        <v>495</v>
      </c>
      <c r="B388" s="210"/>
      <c r="C388" s="210"/>
      <c r="D388" s="210"/>
      <c r="E388" s="210"/>
      <c r="F388" s="210"/>
    </row>
    <row r="389" spans="1:6" ht="38.25" customHeight="1">
      <c r="A389" s="210" t="s">
        <v>540</v>
      </c>
      <c r="B389" s="210"/>
      <c r="C389" s="210"/>
      <c r="D389" s="210"/>
      <c r="E389" s="210"/>
      <c r="F389" s="210"/>
    </row>
    <row r="390" spans="1:6" ht="35.25" customHeight="1">
      <c r="A390" s="210" t="s">
        <v>542</v>
      </c>
      <c r="B390" s="210"/>
      <c r="C390" s="210"/>
      <c r="D390" s="210"/>
      <c r="E390" s="210"/>
      <c r="F390" s="210"/>
    </row>
    <row r="391" spans="1:6" ht="24.75" customHeight="1">
      <c r="A391" s="210" t="s">
        <v>604</v>
      </c>
      <c r="B391" s="210"/>
      <c r="C391" s="210"/>
      <c r="D391" s="210"/>
      <c r="E391" s="210"/>
      <c r="F391" s="210"/>
    </row>
    <row r="392" spans="1:6" ht="21.75" customHeight="1">
      <c r="A392" s="142" t="s">
        <v>397</v>
      </c>
      <c r="B392" s="135"/>
      <c r="C392" s="135"/>
      <c r="D392" s="135"/>
      <c r="E392" s="135"/>
      <c r="F392" s="135"/>
    </row>
    <row r="393" spans="1:6" ht="17.25" customHeight="1">
      <c r="A393" s="210" t="s">
        <v>559</v>
      </c>
      <c r="B393" s="210"/>
      <c r="C393" s="210"/>
      <c r="D393" s="210"/>
      <c r="E393" s="210"/>
      <c r="F393" s="210"/>
    </row>
    <row r="394" spans="1:6" ht="17.25" customHeight="1">
      <c r="A394" s="135" t="s">
        <v>567</v>
      </c>
      <c r="B394" s="135"/>
      <c r="C394" s="135"/>
      <c r="D394" s="135"/>
      <c r="E394" s="135"/>
      <c r="F394" s="135"/>
    </row>
    <row r="395" spans="1:6" ht="17.25" customHeight="1">
      <c r="A395" s="210" t="s">
        <v>496</v>
      </c>
      <c r="B395" s="210"/>
      <c r="C395" s="210"/>
      <c r="D395" s="210"/>
      <c r="E395" s="210"/>
      <c r="F395" s="210"/>
    </row>
    <row r="396" spans="1:6" ht="17.25" customHeight="1">
      <c r="A396" s="210" t="s">
        <v>624</v>
      </c>
      <c r="B396" s="210"/>
      <c r="C396" s="210"/>
      <c r="D396" s="210"/>
      <c r="E396" s="210"/>
      <c r="F396" s="210"/>
    </row>
    <row r="397" spans="1:6" ht="17.25" customHeight="1">
      <c r="A397" s="210" t="s">
        <v>497</v>
      </c>
      <c r="B397" s="210"/>
      <c r="C397" s="210"/>
      <c r="D397" s="210"/>
      <c r="E397" s="210"/>
      <c r="F397" s="210"/>
    </row>
    <row r="398" spans="1:6" ht="17.25" customHeight="1">
      <c r="A398" s="210" t="s">
        <v>499</v>
      </c>
      <c r="B398" s="210"/>
      <c r="C398" s="210"/>
      <c r="D398" s="210"/>
      <c r="E398" s="210"/>
      <c r="F398" s="210"/>
    </row>
    <row r="399" spans="1:6" ht="17.25" customHeight="1">
      <c r="A399" s="210" t="s">
        <v>550</v>
      </c>
      <c r="B399" s="210"/>
      <c r="C399" s="210"/>
      <c r="D399" s="210"/>
      <c r="E399" s="210"/>
      <c r="F399" s="210"/>
    </row>
    <row r="400" spans="1:6" s="86" customFormat="1" ht="17.25" hidden="1" customHeight="1">
      <c r="A400" s="135"/>
      <c r="B400" s="135"/>
      <c r="C400" s="135"/>
      <c r="D400" s="135"/>
      <c r="E400" s="135"/>
      <c r="F400" s="135"/>
    </row>
    <row r="401" spans="1:14" s="86" customFormat="1" ht="17.25" hidden="1" customHeight="1">
      <c r="A401" s="135"/>
      <c r="B401" s="135"/>
      <c r="C401" s="135"/>
      <c r="D401" s="135"/>
      <c r="E401" s="135"/>
      <c r="F401" s="135"/>
    </row>
    <row r="402" spans="1:14" s="86" customFormat="1" ht="17.25" customHeight="1">
      <c r="A402" s="210" t="s">
        <v>541</v>
      </c>
      <c r="B402" s="210"/>
      <c r="C402" s="210"/>
      <c r="D402" s="210"/>
      <c r="E402" s="210"/>
      <c r="F402" s="210"/>
    </row>
    <row r="403" spans="1:14" s="86" customFormat="1" ht="17.25" customHeight="1">
      <c r="A403" s="210" t="s">
        <v>506</v>
      </c>
      <c r="B403" s="210"/>
      <c r="C403" s="210"/>
      <c r="D403" s="210"/>
      <c r="E403" s="210"/>
      <c r="F403" s="210"/>
    </row>
    <row r="404" spans="1:14" s="69" customFormat="1" ht="21" customHeight="1">
      <c r="A404" s="210" t="s">
        <v>562</v>
      </c>
      <c r="B404" s="210"/>
      <c r="C404" s="210"/>
      <c r="D404" s="210"/>
      <c r="E404" s="210"/>
      <c r="F404" s="210"/>
    </row>
    <row r="405" spans="1:14" s="69" customFormat="1" ht="22.5" customHeight="1">
      <c r="A405" s="134" t="s">
        <v>560</v>
      </c>
      <c r="B405" s="135"/>
      <c r="C405" s="135"/>
      <c r="D405" s="135"/>
      <c r="E405" s="135"/>
      <c r="F405" s="135"/>
    </row>
    <row r="406" spans="1:14" s="69" customFormat="1" ht="22.5" customHeight="1">
      <c r="A406" s="210" t="s">
        <v>563</v>
      </c>
      <c r="B406" s="210"/>
      <c r="C406" s="210"/>
      <c r="D406" s="210"/>
      <c r="E406" s="210"/>
      <c r="F406" s="210"/>
    </row>
    <row r="407" spans="1:14" s="11" customFormat="1" ht="14.25" customHeight="1">
      <c r="A407" s="14"/>
      <c r="B407" s="14"/>
      <c r="C407" s="14"/>
      <c r="D407" s="14"/>
      <c r="E407" s="15"/>
      <c r="F407" s="20" t="s">
        <v>21</v>
      </c>
      <c r="M407" s="5"/>
      <c r="N407" s="5"/>
    </row>
    <row r="408" spans="1:14" s="50" customFormat="1" ht="28.5" customHeight="1">
      <c r="A408" s="129" t="s">
        <v>1</v>
      </c>
      <c r="B408" s="209" t="s">
        <v>2</v>
      </c>
      <c r="C408" s="209"/>
      <c r="D408" s="129" t="s">
        <v>3</v>
      </c>
      <c r="E408" s="129" t="s">
        <v>4</v>
      </c>
      <c r="F408" s="129" t="s">
        <v>5</v>
      </c>
      <c r="M408" s="19"/>
      <c r="N408" s="19"/>
    </row>
    <row r="409" spans="1:14" s="86" customFormat="1" ht="15.75">
      <c r="A409" s="172" t="s">
        <v>31</v>
      </c>
      <c r="B409" s="136" t="s">
        <v>64</v>
      </c>
      <c r="C409" s="137"/>
      <c r="D409" s="36">
        <v>1683.2</v>
      </c>
      <c r="E409" s="39">
        <f>255.7-15.1-11.7-96.2</f>
        <v>132.69999999999999</v>
      </c>
      <c r="F409" s="35">
        <f t="shared" ref="F409:F507" si="5">SUM(D409:E409)</f>
        <v>1815.9</v>
      </c>
    </row>
    <row r="410" spans="1:14" s="86" customFormat="1" ht="15.75">
      <c r="A410" s="173"/>
      <c r="B410" s="136" t="s">
        <v>58</v>
      </c>
      <c r="C410" s="137"/>
      <c r="D410" s="36">
        <v>31180.799999999999</v>
      </c>
      <c r="E410" s="39">
        <f>11.7+6.7-122.4</f>
        <v>-104</v>
      </c>
      <c r="F410" s="35">
        <f t="shared" si="5"/>
        <v>31076.799999999999</v>
      </c>
    </row>
    <row r="411" spans="1:14" s="86" customFormat="1" ht="15.75">
      <c r="A411" s="173"/>
      <c r="B411" s="136" t="s">
        <v>59</v>
      </c>
      <c r="C411" s="137"/>
      <c r="D411" s="36">
        <v>13817.7</v>
      </c>
      <c r="E411" s="39">
        <f>500+68.3+114.9+980-0.8-1.8+74.7+1.8-31.5+627.6-2.2+0.3+138.6+302.8+350.5-10-6.7+149.5</f>
        <v>3256.0000000000005</v>
      </c>
      <c r="F411" s="35">
        <f t="shared" si="5"/>
        <v>17073.7</v>
      </c>
    </row>
    <row r="412" spans="1:14" s="86" customFormat="1" ht="15.75">
      <c r="A412" s="173"/>
      <c r="B412" s="136" t="s">
        <v>77</v>
      </c>
      <c r="C412" s="137"/>
      <c r="D412" s="36">
        <v>471.1</v>
      </c>
      <c r="E412" s="39">
        <f>-53.2+10+0.8+1.8-1.8+31.5+2.2</f>
        <v>-8.7000000000000064</v>
      </c>
      <c r="F412" s="35">
        <f t="shared" si="5"/>
        <v>462.40000000000003</v>
      </c>
    </row>
    <row r="413" spans="1:14" s="86" customFormat="1" ht="15.75">
      <c r="A413" s="173"/>
      <c r="B413" s="136" t="s">
        <v>119</v>
      </c>
      <c r="C413" s="137"/>
      <c r="D413" s="36">
        <v>2574</v>
      </c>
      <c r="E413" s="39">
        <v>-27.1</v>
      </c>
      <c r="F413" s="35">
        <f t="shared" si="5"/>
        <v>2546.9</v>
      </c>
    </row>
    <row r="414" spans="1:14" ht="15.75">
      <c r="A414" s="173"/>
      <c r="B414" s="136" t="s">
        <v>210</v>
      </c>
      <c r="C414" s="137"/>
      <c r="D414" s="36">
        <v>422.09999999999997</v>
      </c>
      <c r="E414" s="39">
        <f>10+2.2+13+20+10</f>
        <v>55.2</v>
      </c>
      <c r="F414" s="35">
        <f t="shared" si="5"/>
        <v>477.29999999999995</v>
      </c>
    </row>
    <row r="415" spans="1:14" s="86" customFormat="1" ht="15.75">
      <c r="A415" s="173"/>
      <c r="B415" s="136" t="s">
        <v>71</v>
      </c>
      <c r="C415" s="137"/>
      <c r="D415" s="36">
        <v>4836.4000000000005</v>
      </c>
      <c r="E415" s="39">
        <v>116.6</v>
      </c>
      <c r="F415" s="35">
        <f t="shared" si="5"/>
        <v>4953.0000000000009</v>
      </c>
    </row>
    <row r="416" spans="1:14" s="86" customFormat="1" ht="15.75">
      <c r="A416" s="173"/>
      <c r="B416" s="136" t="s">
        <v>678</v>
      </c>
      <c r="C416" s="137"/>
      <c r="D416" s="36">
        <v>0</v>
      </c>
      <c r="E416" s="39">
        <f>6340.3+227.2652</f>
        <v>6567.5652</v>
      </c>
      <c r="F416" s="35">
        <f t="shared" si="5"/>
        <v>6567.5652</v>
      </c>
    </row>
    <row r="417" spans="1:6" s="86" customFormat="1" ht="15.75">
      <c r="A417" s="173"/>
      <c r="B417" s="136" t="s">
        <v>679</v>
      </c>
      <c r="C417" s="137"/>
      <c r="D417" s="36">
        <v>115</v>
      </c>
      <c r="E417" s="39">
        <v>-7.3</v>
      </c>
      <c r="F417" s="35">
        <f t="shared" si="5"/>
        <v>107.7</v>
      </c>
    </row>
    <row r="418" spans="1:6" s="86" customFormat="1" ht="15.75">
      <c r="A418" s="173"/>
      <c r="B418" s="136" t="s">
        <v>680</v>
      </c>
      <c r="C418" s="137"/>
      <c r="D418" s="36">
        <v>0</v>
      </c>
      <c r="E418" s="39">
        <v>7.3</v>
      </c>
      <c r="F418" s="35">
        <f t="shared" si="5"/>
        <v>7.3</v>
      </c>
    </row>
    <row r="419" spans="1:6" s="86" customFormat="1" ht="15.75">
      <c r="A419" s="173"/>
      <c r="B419" s="136" t="s">
        <v>71</v>
      </c>
      <c r="C419" s="137"/>
      <c r="D419" s="36">
        <v>4836.3999999999996</v>
      </c>
      <c r="E419" s="39">
        <v>58.9</v>
      </c>
      <c r="F419" s="35">
        <f t="shared" si="5"/>
        <v>4895.2999999999993</v>
      </c>
    </row>
    <row r="420" spans="1:6" s="86" customFormat="1" ht="15.75">
      <c r="A420" s="173"/>
      <c r="B420" s="136" t="s">
        <v>681</v>
      </c>
      <c r="C420" s="137"/>
      <c r="D420" s="36">
        <v>0</v>
      </c>
      <c r="E420" s="39">
        <v>1827.83</v>
      </c>
      <c r="F420" s="35">
        <f t="shared" si="5"/>
        <v>1827.83</v>
      </c>
    </row>
    <row r="421" spans="1:6" s="86" customFormat="1" ht="15.75">
      <c r="A421" s="173"/>
      <c r="B421" s="136" t="s">
        <v>682</v>
      </c>
      <c r="C421" s="137"/>
      <c r="D421" s="36">
        <v>0</v>
      </c>
      <c r="E421" s="39">
        <f>1532.54192-2.64</f>
        <v>1529.9019199999998</v>
      </c>
      <c r="F421" s="35">
        <f t="shared" si="5"/>
        <v>1529.9019199999998</v>
      </c>
    </row>
    <row r="422" spans="1:6" s="86" customFormat="1" ht="15.75">
      <c r="A422" s="173"/>
      <c r="B422" s="136" t="s">
        <v>683</v>
      </c>
      <c r="C422" s="137"/>
      <c r="D422" s="36">
        <v>0</v>
      </c>
      <c r="E422" s="39">
        <v>51.723999999999997</v>
      </c>
      <c r="F422" s="35">
        <f t="shared" si="5"/>
        <v>51.723999999999997</v>
      </c>
    </row>
    <row r="423" spans="1:6" s="86" customFormat="1" ht="15.75">
      <c r="A423" s="173"/>
      <c r="B423" s="136" t="s">
        <v>684</v>
      </c>
      <c r="C423" s="137"/>
      <c r="D423" s="36">
        <v>0</v>
      </c>
      <c r="E423" s="39">
        <v>100</v>
      </c>
      <c r="F423" s="35">
        <f t="shared" si="5"/>
        <v>100</v>
      </c>
    </row>
    <row r="424" spans="1:6" s="86" customFormat="1" ht="15.75">
      <c r="A424" s="173"/>
      <c r="B424" s="136" t="s">
        <v>120</v>
      </c>
      <c r="C424" s="137"/>
      <c r="D424" s="36">
        <v>743.5</v>
      </c>
      <c r="E424" s="39">
        <v>-34.5</v>
      </c>
      <c r="F424" s="35">
        <f t="shared" si="5"/>
        <v>709</v>
      </c>
    </row>
    <row r="425" spans="1:6" s="86" customFormat="1" ht="15.75">
      <c r="A425" s="173"/>
      <c r="B425" s="136" t="s">
        <v>80</v>
      </c>
      <c r="C425" s="137"/>
      <c r="D425" s="36">
        <v>12647.000000000002</v>
      </c>
      <c r="E425" s="39">
        <f>98.2-130</f>
        <v>-31.799999999999997</v>
      </c>
      <c r="F425" s="35">
        <f t="shared" si="5"/>
        <v>12615.200000000003</v>
      </c>
    </row>
    <row r="426" spans="1:6" s="86" customFormat="1" ht="15.75">
      <c r="A426" s="173"/>
      <c r="B426" s="136" t="s">
        <v>662</v>
      </c>
      <c r="C426" s="137"/>
      <c r="D426" s="36">
        <v>12647</v>
      </c>
      <c r="E426" s="39">
        <v>-3.9</v>
      </c>
      <c r="F426" s="35">
        <f t="shared" si="5"/>
        <v>12643.1</v>
      </c>
    </row>
    <row r="427" spans="1:6" s="86" customFormat="1" ht="15.75">
      <c r="A427" s="173"/>
      <c r="B427" s="136" t="s">
        <v>192</v>
      </c>
      <c r="C427" s="137"/>
      <c r="D427" s="36">
        <v>6711.5</v>
      </c>
      <c r="E427" s="39">
        <f>146.9+74</f>
        <v>220.9</v>
      </c>
      <c r="F427" s="35">
        <f t="shared" si="5"/>
        <v>6932.4</v>
      </c>
    </row>
    <row r="428" spans="1:6" s="86" customFormat="1" ht="15.75">
      <c r="A428" s="173"/>
      <c r="B428" s="136" t="s">
        <v>409</v>
      </c>
      <c r="C428" s="137"/>
      <c r="D428" s="36">
        <v>234.4</v>
      </c>
      <c r="E428" s="39">
        <f>13.9+19.6+13.9</f>
        <v>47.4</v>
      </c>
      <c r="F428" s="35">
        <f t="shared" si="5"/>
        <v>281.8</v>
      </c>
    </row>
    <row r="429" spans="1:6" s="86" customFormat="1" ht="15.75">
      <c r="A429" s="173"/>
      <c r="B429" s="136" t="s">
        <v>81</v>
      </c>
      <c r="C429" s="137"/>
      <c r="D429" s="36">
        <v>352.5</v>
      </c>
      <c r="E429" s="39">
        <v>-10.4</v>
      </c>
      <c r="F429" s="35">
        <f t="shared" si="5"/>
        <v>342.1</v>
      </c>
    </row>
    <row r="430" spans="1:6" s="86" customFormat="1" ht="15.75">
      <c r="A430" s="173"/>
      <c r="B430" s="136" t="s">
        <v>660</v>
      </c>
      <c r="C430" s="137"/>
      <c r="D430" s="36">
        <v>416.7</v>
      </c>
      <c r="E430" s="39">
        <v>-253.7</v>
      </c>
      <c r="F430" s="35">
        <f t="shared" si="5"/>
        <v>163</v>
      </c>
    </row>
    <row r="431" spans="1:6" s="86" customFormat="1" ht="15.75">
      <c r="A431" s="173"/>
      <c r="B431" s="136" t="s">
        <v>661</v>
      </c>
      <c r="C431" s="137"/>
      <c r="D431" s="36">
        <v>0</v>
      </c>
      <c r="E431" s="39">
        <f>48.5615+57.965</f>
        <v>106.5265</v>
      </c>
      <c r="F431" s="35">
        <f t="shared" si="5"/>
        <v>106.5265</v>
      </c>
    </row>
    <row r="432" spans="1:6" s="86" customFormat="1" ht="15.75">
      <c r="A432" s="173"/>
      <c r="B432" s="136" t="s">
        <v>130</v>
      </c>
      <c r="C432" s="137"/>
      <c r="D432" s="36">
        <v>3735.9</v>
      </c>
      <c r="E432" s="39">
        <f>135.8+13.4+52.2</f>
        <v>201.40000000000003</v>
      </c>
      <c r="F432" s="35">
        <f t="shared" si="5"/>
        <v>3937.3</v>
      </c>
    </row>
    <row r="433" spans="1:14" s="86" customFormat="1" ht="15.75">
      <c r="A433" s="173"/>
      <c r="B433" s="136" t="s">
        <v>131</v>
      </c>
      <c r="C433" s="137"/>
      <c r="D433" s="36">
        <v>583.5</v>
      </c>
      <c r="E433" s="39">
        <f>-13.4+5.8-5.8</f>
        <v>-13.4</v>
      </c>
      <c r="F433" s="35">
        <f>SUM(D433:E433)</f>
        <v>570.1</v>
      </c>
    </row>
    <row r="434" spans="1:14" s="86" customFormat="1" ht="15.75">
      <c r="A434" s="173"/>
      <c r="B434" s="136" t="s">
        <v>228</v>
      </c>
      <c r="C434" s="137"/>
      <c r="D434" s="36">
        <v>119.5</v>
      </c>
      <c r="E434" s="39">
        <v>5</v>
      </c>
      <c r="F434" s="35">
        <f>SUM(D434:E434)</f>
        <v>124.5</v>
      </c>
    </row>
    <row r="435" spans="1:14" s="87" customFormat="1" ht="15.75">
      <c r="A435" s="173"/>
      <c r="B435" s="136" t="s">
        <v>285</v>
      </c>
      <c r="C435" s="137"/>
      <c r="D435" s="36">
        <v>3950</v>
      </c>
      <c r="E435" s="39">
        <f>-3450.1+79.7-79.7</f>
        <v>-3450.1</v>
      </c>
      <c r="F435" s="35">
        <f t="shared" si="5"/>
        <v>499.90000000000009</v>
      </c>
      <c r="M435" s="86"/>
      <c r="N435" s="86"/>
    </row>
    <row r="436" spans="1:14" s="87" customFormat="1" ht="15.75">
      <c r="A436" s="173"/>
      <c r="B436" s="136" t="s">
        <v>404</v>
      </c>
      <c r="C436" s="137"/>
      <c r="D436" s="36">
        <v>0</v>
      </c>
      <c r="E436" s="39">
        <f>3450.1-79.7+79.7</f>
        <v>3450.1</v>
      </c>
      <c r="F436" s="35">
        <f t="shared" si="5"/>
        <v>3450.1</v>
      </c>
      <c r="M436" s="86"/>
      <c r="N436" s="86"/>
    </row>
    <row r="437" spans="1:14" s="87" customFormat="1" ht="15.75">
      <c r="A437" s="173"/>
      <c r="B437" s="136" t="s">
        <v>86</v>
      </c>
      <c r="C437" s="137"/>
      <c r="D437" s="36">
        <v>17124.099999999999</v>
      </c>
      <c r="E437" s="39">
        <v>-1720.8</v>
      </c>
      <c r="F437" s="35">
        <f t="shared" si="5"/>
        <v>15403.3</v>
      </c>
      <c r="M437" s="86"/>
      <c r="N437" s="86"/>
    </row>
    <row r="438" spans="1:14" s="87" customFormat="1" ht="15.75">
      <c r="A438" s="173"/>
      <c r="B438" s="136" t="s">
        <v>289</v>
      </c>
      <c r="C438" s="137"/>
      <c r="D438" s="36">
        <v>178</v>
      </c>
      <c r="E438" s="39">
        <v>-25.2</v>
      </c>
      <c r="F438" s="35">
        <f t="shared" si="5"/>
        <v>152.80000000000001</v>
      </c>
      <c r="M438" s="86"/>
      <c r="N438" s="86"/>
    </row>
    <row r="439" spans="1:14" s="87" customFormat="1" ht="15.75">
      <c r="A439" s="173"/>
      <c r="B439" s="136" t="s">
        <v>290</v>
      </c>
      <c r="C439" s="137"/>
      <c r="D439" s="36">
        <v>253</v>
      </c>
      <c r="E439" s="39">
        <v>-16.399999999999999</v>
      </c>
      <c r="F439" s="35">
        <f t="shared" si="5"/>
        <v>236.6</v>
      </c>
      <c r="M439" s="86"/>
      <c r="N439" s="86"/>
    </row>
    <row r="440" spans="1:14" s="87" customFormat="1" ht="15.75">
      <c r="A440" s="173"/>
      <c r="B440" s="136" t="s">
        <v>659</v>
      </c>
      <c r="C440" s="137"/>
      <c r="D440" s="36">
        <v>85.4</v>
      </c>
      <c r="E440" s="39">
        <f>-9.2-15.2</f>
        <v>-24.4</v>
      </c>
      <c r="F440" s="35">
        <f t="shared" si="5"/>
        <v>61.000000000000007</v>
      </c>
      <c r="M440" s="86"/>
      <c r="N440" s="86"/>
    </row>
    <row r="441" spans="1:14" s="87" customFormat="1" ht="15.75">
      <c r="A441" s="173"/>
      <c r="B441" s="136" t="s">
        <v>134</v>
      </c>
      <c r="C441" s="137"/>
      <c r="D441" s="36">
        <v>3674</v>
      </c>
      <c r="E441" s="39">
        <v>-20</v>
      </c>
      <c r="F441" s="35">
        <f t="shared" si="5"/>
        <v>3654</v>
      </c>
      <c r="M441" s="86"/>
      <c r="N441" s="86"/>
    </row>
    <row r="442" spans="1:14" s="87" customFormat="1" ht="15.75">
      <c r="A442" s="173"/>
      <c r="B442" s="136" t="s">
        <v>54</v>
      </c>
      <c r="C442" s="137"/>
      <c r="D442" s="36">
        <v>3731</v>
      </c>
      <c r="E442" s="39">
        <f>426+299+160</f>
        <v>885</v>
      </c>
      <c r="F442" s="35">
        <f t="shared" si="5"/>
        <v>4616</v>
      </c>
      <c r="M442" s="86"/>
      <c r="N442" s="86"/>
    </row>
    <row r="443" spans="1:14" s="87" customFormat="1" ht="15.75">
      <c r="A443" s="173"/>
      <c r="B443" s="136" t="s">
        <v>70</v>
      </c>
      <c r="C443" s="137"/>
      <c r="D443" s="36">
        <v>34855</v>
      </c>
      <c r="E443" s="39">
        <f>251+173+487-16</f>
        <v>895</v>
      </c>
      <c r="F443" s="35">
        <f t="shared" si="5"/>
        <v>35750</v>
      </c>
      <c r="M443" s="86"/>
      <c r="N443" s="86"/>
    </row>
    <row r="444" spans="1:14" s="87" customFormat="1" ht="15.75">
      <c r="A444" s="173"/>
      <c r="B444" s="136" t="s">
        <v>55</v>
      </c>
      <c r="C444" s="137"/>
      <c r="D444" s="36">
        <v>2400</v>
      </c>
      <c r="E444" s="39">
        <f>-426-251-173-1086-372.3+262.3-21.7-262.3</f>
        <v>-2330.0000000000005</v>
      </c>
      <c r="F444" s="35">
        <f t="shared" si="5"/>
        <v>69.999999999999545</v>
      </c>
      <c r="M444" s="86"/>
      <c r="N444" s="86"/>
    </row>
    <row r="445" spans="1:14" s="86" customFormat="1" ht="15.75">
      <c r="A445" s="173"/>
      <c r="B445" s="136" t="s">
        <v>50</v>
      </c>
      <c r="C445" s="137"/>
      <c r="D445" s="36">
        <v>3519.1</v>
      </c>
      <c r="E445" s="39">
        <f>10.4+262.3+20</f>
        <v>292.7</v>
      </c>
      <c r="F445" s="35">
        <f t="shared" si="5"/>
        <v>3811.7999999999997</v>
      </c>
    </row>
    <row r="446" spans="1:14" s="87" customFormat="1" ht="15.75">
      <c r="A446" s="173"/>
      <c r="B446" s="136" t="s">
        <v>98</v>
      </c>
      <c r="C446" s="137"/>
      <c r="D446" s="36">
        <v>0</v>
      </c>
      <c r="E446" s="39">
        <f>122.3+300-122.3</f>
        <v>300</v>
      </c>
      <c r="F446" s="35">
        <f t="shared" si="5"/>
        <v>300</v>
      </c>
      <c r="M446" s="86"/>
      <c r="N446" s="86"/>
    </row>
    <row r="447" spans="1:14" s="87" customFormat="1" ht="15.75">
      <c r="A447" s="173"/>
      <c r="B447" s="136" t="s">
        <v>298</v>
      </c>
      <c r="C447" s="137"/>
      <c r="D447" s="36">
        <v>296.60000000000002</v>
      </c>
      <c r="E447" s="39">
        <v>-86</v>
      </c>
      <c r="F447" s="35">
        <f t="shared" si="5"/>
        <v>210.60000000000002</v>
      </c>
      <c r="M447" s="86"/>
      <c r="N447" s="86"/>
    </row>
    <row r="448" spans="1:14" s="87" customFormat="1" ht="15.75">
      <c r="A448" s="173"/>
      <c r="B448" s="136" t="s">
        <v>40</v>
      </c>
      <c r="C448" s="137"/>
      <c r="D448" s="36">
        <v>8603.5</v>
      </c>
      <c r="E448" s="39">
        <f>-80+440-5</f>
        <v>355</v>
      </c>
      <c r="F448" s="35">
        <f t="shared" si="5"/>
        <v>8958.5</v>
      </c>
      <c r="M448" s="86"/>
      <c r="N448" s="86"/>
    </row>
    <row r="449" spans="1:15" s="87" customFormat="1" ht="15.75">
      <c r="A449" s="173"/>
      <c r="B449" s="136" t="s">
        <v>301</v>
      </c>
      <c r="C449" s="137"/>
      <c r="D449" s="36">
        <v>14034</v>
      </c>
      <c r="E449" s="39">
        <f>80+380+57</f>
        <v>517</v>
      </c>
      <c r="F449" s="35">
        <f t="shared" si="5"/>
        <v>14551</v>
      </c>
      <c r="M449" s="86"/>
      <c r="N449" s="86"/>
    </row>
    <row r="450" spans="1:15" ht="15.75">
      <c r="A450" s="173"/>
      <c r="B450" s="174" t="s">
        <v>72</v>
      </c>
      <c r="C450" s="175"/>
      <c r="D450" s="36">
        <v>289.3</v>
      </c>
      <c r="E450" s="39">
        <v>-72.3</v>
      </c>
      <c r="F450" s="35">
        <f t="shared" si="5"/>
        <v>217</v>
      </c>
      <c r="M450" s="11"/>
    </row>
    <row r="451" spans="1:15" ht="15.75">
      <c r="A451" s="173"/>
      <c r="B451" s="136" t="s">
        <v>657</v>
      </c>
      <c r="C451" s="137"/>
      <c r="D451" s="36">
        <v>1552</v>
      </c>
      <c r="E451" s="39">
        <f>-200-24</f>
        <v>-224</v>
      </c>
      <c r="F451" s="35">
        <f t="shared" si="5"/>
        <v>1328</v>
      </c>
      <c r="M451" s="11"/>
    </row>
    <row r="452" spans="1:15" ht="15.75">
      <c r="A452" s="173"/>
      <c r="B452" s="136" t="s">
        <v>41</v>
      </c>
      <c r="C452" s="137"/>
      <c r="D452" s="36">
        <v>3334</v>
      </c>
      <c r="E452" s="39">
        <f>-310+4+9</f>
        <v>-297</v>
      </c>
      <c r="F452" s="35">
        <f t="shared" si="5"/>
        <v>3037</v>
      </c>
      <c r="M452" s="11"/>
    </row>
    <row r="453" spans="1:15" ht="15.75">
      <c r="A453" s="173"/>
      <c r="B453" s="136" t="s">
        <v>303</v>
      </c>
      <c r="C453" s="137"/>
      <c r="D453" s="36">
        <v>3559.5</v>
      </c>
      <c r="E453" s="39">
        <f>-215-9</f>
        <v>-224</v>
      </c>
      <c r="F453" s="35">
        <f t="shared" si="5"/>
        <v>3335.5</v>
      </c>
      <c r="M453" s="11"/>
    </row>
    <row r="454" spans="1:15" ht="15.75">
      <c r="A454" s="173"/>
      <c r="B454" s="136" t="s">
        <v>658</v>
      </c>
      <c r="C454" s="137"/>
      <c r="D454" s="36">
        <v>1021</v>
      </c>
      <c r="E454" s="39">
        <f>-191+2</f>
        <v>-189</v>
      </c>
      <c r="F454" s="35">
        <f t="shared" si="5"/>
        <v>832</v>
      </c>
      <c r="M454" s="11"/>
    </row>
    <row r="455" spans="1:15" ht="15.75">
      <c r="A455" s="173"/>
      <c r="B455" s="136" t="s">
        <v>302</v>
      </c>
      <c r="C455" s="137"/>
      <c r="D455" s="36">
        <v>11880</v>
      </c>
      <c r="E455" s="39">
        <f>96-34</f>
        <v>62</v>
      </c>
      <c r="F455" s="35">
        <f t="shared" si="5"/>
        <v>11942</v>
      </c>
      <c r="M455" s="11"/>
    </row>
    <row r="456" spans="1:15" ht="15.75">
      <c r="A456" s="173"/>
      <c r="B456" s="136" t="s">
        <v>293</v>
      </c>
      <c r="C456" s="137"/>
      <c r="D456" s="36">
        <v>200</v>
      </c>
      <c r="E456" s="39">
        <f>15+35</f>
        <v>50</v>
      </c>
      <c r="F456" s="35">
        <f t="shared" si="5"/>
        <v>250</v>
      </c>
      <c r="M456" s="11"/>
    </row>
    <row r="457" spans="1:15" ht="15.75">
      <c r="A457" s="173"/>
      <c r="B457" s="136" t="s">
        <v>294</v>
      </c>
      <c r="C457" s="137"/>
      <c r="D457" s="36">
        <v>50</v>
      </c>
      <c r="E457" s="39">
        <v>-35</v>
      </c>
      <c r="F457" s="35">
        <f t="shared" si="5"/>
        <v>15</v>
      </c>
      <c r="G457" s="16"/>
      <c r="H457" s="16"/>
      <c r="M457" s="11"/>
      <c r="O457" s="16"/>
    </row>
    <row r="458" spans="1:15" s="86" customFormat="1" ht="15.75">
      <c r="A458" s="205" t="s">
        <v>150</v>
      </c>
      <c r="B458" s="70" t="s">
        <v>312</v>
      </c>
      <c r="C458" s="71"/>
      <c r="D458" s="36">
        <v>35740.9</v>
      </c>
      <c r="E458" s="39">
        <f>26+1204.2+10.5+53.9+3.5-13.8+57.3+3.7+15+129.9+74.3+598.8-88.8</f>
        <v>2074.5</v>
      </c>
      <c r="F458" s="35">
        <f t="shared" si="5"/>
        <v>37815.4</v>
      </c>
      <c r="M458" s="87"/>
    </row>
    <row r="459" spans="1:15" s="86" customFormat="1" ht="15.75">
      <c r="A459" s="205"/>
      <c r="B459" s="70" t="s">
        <v>153</v>
      </c>
      <c r="C459" s="71"/>
      <c r="D459" s="39">
        <v>757.35284000000001</v>
      </c>
      <c r="E459" s="39">
        <f>13.8+11.7</f>
        <v>25.5</v>
      </c>
      <c r="F459" s="35">
        <f t="shared" si="5"/>
        <v>782.85284000000001</v>
      </c>
      <c r="M459" s="87"/>
    </row>
    <row r="460" spans="1:15" s="86" customFormat="1" ht="15.75">
      <c r="A460" s="205"/>
      <c r="B460" s="70" t="s">
        <v>379</v>
      </c>
      <c r="C460" s="71"/>
      <c r="D460" s="36">
        <v>66.8</v>
      </c>
      <c r="E460" s="39">
        <f>-46.8</f>
        <v>-46.8</v>
      </c>
      <c r="F460" s="35">
        <f t="shared" si="5"/>
        <v>20</v>
      </c>
      <c r="M460" s="87"/>
    </row>
    <row r="461" spans="1:15" s="86" customFormat="1" ht="15.75">
      <c r="A461" s="205"/>
      <c r="B461" s="70" t="s">
        <v>188</v>
      </c>
      <c r="C461" s="71"/>
      <c r="D461" s="36">
        <v>7383.3</v>
      </c>
      <c r="E461" s="39">
        <f>86.17+201.8+4+4.5+5+49.6+25+65.1+131.9+53+114.3-4.2</f>
        <v>736.17</v>
      </c>
      <c r="F461" s="35">
        <f t="shared" si="5"/>
        <v>8119.47</v>
      </c>
      <c r="M461" s="87"/>
    </row>
    <row r="462" spans="1:15" s="86" customFormat="1" ht="15.75">
      <c r="A462" s="205"/>
      <c r="B462" s="70" t="s">
        <v>380</v>
      </c>
      <c r="C462" s="71"/>
      <c r="D462" s="36">
        <v>200</v>
      </c>
      <c r="E462" s="39">
        <f>-16.9</f>
        <v>-16.899999999999999</v>
      </c>
      <c r="F462" s="35">
        <f t="shared" si="5"/>
        <v>183.1</v>
      </c>
      <c r="M462" s="87"/>
    </row>
    <row r="463" spans="1:15" s="86" customFormat="1" ht="15.75">
      <c r="A463" s="205"/>
      <c r="B463" s="70" t="s">
        <v>381</v>
      </c>
      <c r="C463" s="71"/>
      <c r="D463" s="36">
        <v>443.6</v>
      </c>
      <c r="E463" s="39">
        <f>-48.47-29.9-4-10.5-8-5-3.7</f>
        <v>-109.57000000000001</v>
      </c>
      <c r="F463" s="35">
        <f t="shared" si="5"/>
        <v>334.03000000000003</v>
      </c>
      <c r="M463" s="87"/>
    </row>
    <row r="464" spans="1:15" s="86" customFormat="1" ht="15.75">
      <c r="A464" s="205"/>
      <c r="B464" s="70" t="s">
        <v>622</v>
      </c>
      <c r="C464" s="71"/>
      <c r="D464" s="36">
        <v>63.9</v>
      </c>
      <c r="E464" s="39">
        <v>-2</v>
      </c>
      <c r="F464" s="35">
        <f t="shared" si="5"/>
        <v>61.9</v>
      </c>
      <c r="M464" s="87"/>
    </row>
    <row r="465" spans="1:17" s="86" customFormat="1" ht="15.75">
      <c r="A465" s="205"/>
      <c r="B465" s="70" t="s">
        <v>189</v>
      </c>
      <c r="C465" s="71"/>
      <c r="D465" s="36">
        <v>900.39999999999986</v>
      </c>
      <c r="E465" s="39">
        <f>29.9+2-3.1</f>
        <v>28.799999999999997</v>
      </c>
      <c r="F465" s="35">
        <f t="shared" si="5"/>
        <v>929.19999999999982</v>
      </c>
      <c r="G465" s="105"/>
      <c r="M465" s="87"/>
      <c r="O465" s="16"/>
      <c r="Q465" s="105"/>
    </row>
    <row r="466" spans="1:17" s="86" customFormat="1" ht="15.75">
      <c r="A466" s="172" t="s">
        <v>35</v>
      </c>
      <c r="B466" s="70" t="s">
        <v>677</v>
      </c>
      <c r="C466" s="71"/>
      <c r="D466" s="36">
        <v>0</v>
      </c>
      <c r="E466" s="39">
        <v>94.694460000000007</v>
      </c>
      <c r="F466" s="35">
        <f t="shared" si="5"/>
        <v>94.694460000000007</v>
      </c>
      <c r="M466" s="87"/>
    </row>
    <row r="467" spans="1:17" s="86" customFormat="1" ht="15.75">
      <c r="A467" s="173"/>
      <c r="B467" s="70" t="s">
        <v>163</v>
      </c>
      <c r="C467" s="71"/>
      <c r="D467" s="36">
        <v>880</v>
      </c>
      <c r="E467" s="39">
        <f>50</f>
        <v>50</v>
      </c>
      <c r="F467" s="35">
        <f t="shared" si="5"/>
        <v>930</v>
      </c>
      <c r="M467" s="87"/>
    </row>
    <row r="468" spans="1:17" s="86" customFormat="1" ht="15.75">
      <c r="A468" s="173"/>
      <c r="B468" s="206" t="s">
        <v>164</v>
      </c>
      <c r="C468" s="207"/>
      <c r="D468" s="36">
        <v>270.60000000000002</v>
      </c>
      <c r="E468" s="39">
        <f>-180+70-40.6</f>
        <v>-150.6</v>
      </c>
      <c r="F468" s="35">
        <f t="shared" si="5"/>
        <v>120.00000000000003</v>
      </c>
      <c r="M468" s="87"/>
    </row>
    <row r="469" spans="1:17" s="86" customFormat="1" ht="15.75">
      <c r="A469" s="173"/>
      <c r="B469" s="206" t="s">
        <v>410</v>
      </c>
      <c r="C469" s="207"/>
      <c r="D469" s="36">
        <v>0</v>
      </c>
      <c r="E469" s="39">
        <f>180+40.6</f>
        <v>220.6</v>
      </c>
      <c r="F469" s="35">
        <f t="shared" si="5"/>
        <v>220.6</v>
      </c>
      <c r="M469" s="87"/>
    </row>
    <row r="470" spans="1:17" s="86" customFormat="1" ht="15.75">
      <c r="A470" s="173"/>
      <c r="B470" s="206" t="s">
        <v>297</v>
      </c>
      <c r="C470" s="207"/>
      <c r="D470" s="36">
        <v>350</v>
      </c>
      <c r="E470" s="39">
        <f>200</f>
        <v>200</v>
      </c>
      <c r="F470" s="35">
        <f t="shared" si="5"/>
        <v>550</v>
      </c>
      <c r="M470" s="87"/>
    </row>
    <row r="471" spans="1:17" s="86" customFormat="1" ht="15.75">
      <c r="A471" s="173"/>
      <c r="B471" s="70" t="s">
        <v>400</v>
      </c>
      <c r="C471" s="44"/>
      <c r="D471" s="36">
        <v>100</v>
      </c>
      <c r="E471" s="39">
        <v>-80</v>
      </c>
      <c r="F471" s="35">
        <f t="shared" si="5"/>
        <v>20</v>
      </c>
      <c r="M471" s="87"/>
    </row>
    <row r="472" spans="1:17" s="86" customFormat="1" ht="15.75">
      <c r="A472" s="173"/>
      <c r="B472" s="70" t="s">
        <v>401</v>
      </c>
      <c r="C472" s="44"/>
      <c r="D472" s="36">
        <v>1000</v>
      </c>
      <c r="E472" s="39">
        <f>80+170</f>
        <v>250</v>
      </c>
      <c r="F472" s="35">
        <f t="shared" si="5"/>
        <v>1250</v>
      </c>
      <c r="M472" s="87"/>
    </row>
    <row r="473" spans="1:17" s="89" customFormat="1" ht="17.25" customHeight="1">
      <c r="A473" s="173"/>
      <c r="B473" s="136" t="s">
        <v>193</v>
      </c>
      <c r="C473" s="137"/>
      <c r="D473" s="36">
        <v>6757.4</v>
      </c>
      <c r="E473" s="39">
        <v>-0.1</v>
      </c>
      <c r="F473" s="35">
        <f t="shared" ref="F473" si="6">SUM(D473:E473)</f>
        <v>6757.2999999999993</v>
      </c>
    </row>
    <row r="474" spans="1:17" s="86" customFormat="1" ht="15.75">
      <c r="A474" s="173"/>
      <c r="B474" s="70" t="s">
        <v>315</v>
      </c>
      <c r="C474" s="44"/>
      <c r="D474" s="36">
        <v>955.3</v>
      </c>
      <c r="E474" s="39">
        <f>11+99.4+47.4-3.8</f>
        <v>154</v>
      </c>
      <c r="F474" s="35">
        <f t="shared" si="5"/>
        <v>1109.3</v>
      </c>
      <c r="M474" s="87"/>
    </row>
    <row r="475" spans="1:17" s="86" customFormat="1" ht="15.75">
      <c r="A475" s="173"/>
      <c r="B475" s="136" t="s">
        <v>296</v>
      </c>
      <c r="C475" s="44"/>
      <c r="D475" s="36">
        <v>900</v>
      </c>
      <c r="E475" s="39">
        <v>-47.4</v>
      </c>
      <c r="F475" s="35">
        <f t="shared" si="5"/>
        <v>852.6</v>
      </c>
      <c r="M475" s="87"/>
    </row>
    <row r="476" spans="1:17" s="86" customFormat="1" ht="15.75">
      <c r="A476" s="173"/>
      <c r="B476" s="174" t="s">
        <v>165</v>
      </c>
      <c r="C476" s="175"/>
      <c r="D476" s="36">
        <v>280</v>
      </c>
      <c r="E476" s="39">
        <v>-11</v>
      </c>
      <c r="F476" s="35">
        <f t="shared" si="5"/>
        <v>269</v>
      </c>
      <c r="M476" s="87"/>
    </row>
    <row r="477" spans="1:17" s="86" customFormat="1" ht="15.75">
      <c r="A477" s="173"/>
      <c r="B477" s="174" t="s">
        <v>408</v>
      </c>
      <c r="C477" s="175"/>
      <c r="D477" s="36">
        <v>1769.4</v>
      </c>
      <c r="E477" s="39">
        <f>-180-1589.4</f>
        <v>-1769.4</v>
      </c>
      <c r="F477" s="35">
        <f t="shared" si="5"/>
        <v>0</v>
      </c>
      <c r="M477" s="87"/>
    </row>
    <row r="478" spans="1:17" s="86" customFormat="1" ht="15.75">
      <c r="A478" s="173"/>
      <c r="B478" s="174" t="s">
        <v>307</v>
      </c>
      <c r="C478" s="175"/>
      <c r="D478" s="36">
        <v>122.3</v>
      </c>
      <c r="E478" s="39">
        <v>-122.3</v>
      </c>
      <c r="F478" s="35">
        <f t="shared" si="5"/>
        <v>0</v>
      </c>
      <c r="M478" s="87"/>
    </row>
    <row r="479" spans="1:17" s="86" customFormat="1" ht="15.75">
      <c r="A479" s="195"/>
      <c r="B479" s="174" t="s">
        <v>74</v>
      </c>
      <c r="C479" s="175"/>
      <c r="D479" s="36">
        <v>50</v>
      </c>
      <c r="E479" s="39">
        <f>180-31.3</f>
        <v>148.69999999999999</v>
      </c>
      <c r="F479" s="35">
        <f t="shared" si="5"/>
        <v>198.7</v>
      </c>
      <c r="M479" s="87"/>
    </row>
    <row r="480" spans="1:17" s="86" customFormat="1" ht="15.75">
      <c r="A480" s="172" t="s">
        <v>572</v>
      </c>
      <c r="B480" s="136" t="s">
        <v>573</v>
      </c>
      <c r="C480" s="137"/>
      <c r="D480" s="36">
        <v>1181</v>
      </c>
      <c r="E480" s="39">
        <v>-82.5</v>
      </c>
      <c r="F480" s="35">
        <f t="shared" si="5"/>
        <v>1098.5</v>
      </c>
      <c r="M480" s="87"/>
    </row>
    <row r="481" spans="1:13" s="86" customFormat="1" ht="15.75">
      <c r="A481" s="195"/>
      <c r="B481" s="136" t="s">
        <v>574</v>
      </c>
      <c r="C481" s="137"/>
      <c r="D481" s="36">
        <v>528.79999999999995</v>
      </c>
      <c r="E481" s="39">
        <v>-1.4</v>
      </c>
      <c r="F481" s="35">
        <f t="shared" si="5"/>
        <v>527.4</v>
      </c>
      <c r="M481" s="87"/>
    </row>
    <row r="482" spans="1:13" s="86" customFormat="1" ht="15.75">
      <c r="A482" s="172" t="s">
        <v>116</v>
      </c>
      <c r="B482" s="70" t="s">
        <v>121</v>
      </c>
      <c r="C482" s="71"/>
      <c r="D482" s="36">
        <v>2471</v>
      </c>
      <c r="E482" s="39">
        <f>-42.3+79</f>
        <v>36.700000000000003</v>
      </c>
      <c r="F482" s="35">
        <f t="shared" si="5"/>
        <v>2507.6999999999998</v>
      </c>
      <c r="M482" s="87"/>
    </row>
    <row r="483" spans="1:13" s="86" customFormat="1" ht="15.75">
      <c r="A483" s="173"/>
      <c r="B483" s="70" t="s">
        <v>442</v>
      </c>
      <c r="C483" s="71"/>
      <c r="D483" s="36">
        <v>1253.3</v>
      </c>
      <c r="E483" s="39">
        <f>-79-0.2</f>
        <v>-79.2</v>
      </c>
      <c r="F483" s="35">
        <f t="shared" si="5"/>
        <v>1174.0999999999999</v>
      </c>
      <c r="M483" s="87"/>
    </row>
    <row r="484" spans="1:13" s="86" customFormat="1" ht="15.75">
      <c r="A484" s="173"/>
      <c r="B484" s="70" t="s">
        <v>310</v>
      </c>
      <c r="C484" s="71"/>
      <c r="D484" s="36">
        <v>2024.3</v>
      </c>
      <c r="E484" s="39">
        <v>-10.4</v>
      </c>
      <c r="F484" s="35">
        <f t="shared" si="5"/>
        <v>2013.8999999999999</v>
      </c>
      <c r="M484" s="87"/>
    </row>
    <row r="485" spans="1:13" s="86" customFormat="1" ht="15.75">
      <c r="A485" s="173"/>
      <c r="B485" s="70" t="s">
        <v>311</v>
      </c>
      <c r="C485" s="71"/>
      <c r="D485" s="36">
        <v>373</v>
      </c>
      <c r="E485" s="39">
        <v>42.3</v>
      </c>
      <c r="F485" s="35">
        <f t="shared" si="5"/>
        <v>415.3</v>
      </c>
      <c r="M485" s="87"/>
    </row>
    <row r="486" spans="1:13" s="87" customFormat="1" ht="15.75">
      <c r="A486" s="172" t="s">
        <v>8</v>
      </c>
      <c r="B486" s="136" t="s">
        <v>221</v>
      </c>
      <c r="C486" s="137"/>
      <c r="D486" s="39">
        <v>10568.4</v>
      </c>
      <c r="E486" s="39">
        <f>342.6+180.5</f>
        <v>523.1</v>
      </c>
      <c r="F486" s="40">
        <f t="shared" si="5"/>
        <v>11091.5</v>
      </c>
      <c r="M486" s="86"/>
    </row>
    <row r="487" spans="1:13" s="87" customFormat="1" ht="15.75">
      <c r="A487" s="173"/>
      <c r="B487" s="136" t="s">
        <v>160</v>
      </c>
      <c r="C487" s="137"/>
      <c r="D487" s="39">
        <v>8516.4</v>
      </c>
      <c r="E487" s="39">
        <f>-550+50-2.4</f>
        <v>-502.4</v>
      </c>
      <c r="F487" s="40">
        <f t="shared" si="5"/>
        <v>8014</v>
      </c>
      <c r="M487" s="86"/>
    </row>
    <row r="488" spans="1:13" s="11" customFormat="1" ht="15.75">
      <c r="A488" s="173"/>
      <c r="B488" s="136" t="s">
        <v>299</v>
      </c>
      <c r="C488" s="137"/>
      <c r="D488" s="39">
        <v>198.8</v>
      </c>
      <c r="E488" s="39">
        <v>3</v>
      </c>
      <c r="F488" s="40">
        <f t="shared" si="5"/>
        <v>201.8</v>
      </c>
      <c r="M488" s="5"/>
    </row>
    <row r="489" spans="1:13" s="11" customFormat="1" ht="15.75">
      <c r="A489" s="173"/>
      <c r="B489" s="136" t="s">
        <v>222</v>
      </c>
      <c r="C489" s="137"/>
      <c r="D489" s="39">
        <v>126157.6</v>
      </c>
      <c r="E489" s="39">
        <f>3285.6+808+400-2.9+1422.1-1.2</f>
        <v>5911.6000000000013</v>
      </c>
      <c r="F489" s="40">
        <f t="shared" si="5"/>
        <v>132069.20000000001</v>
      </c>
      <c r="M489" s="5"/>
    </row>
    <row r="490" spans="1:13" s="87" customFormat="1" ht="15.75">
      <c r="A490" s="173"/>
      <c r="B490" s="136" t="s">
        <v>57</v>
      </c>
      <c r="C490" s="137"/>
      <c r="D490" s="39">
        <v>53694.400000000001</v>
      </c>
      <c r="E490" s="39">
        <f>341.6+1400+1594-21.2</f>
        <v>3314.4</v>
      </c>
      <c r="F490" s="40">
        <f t="shared" si="5"/>
        <v>57008.800000000003</v>
      </c>
      <c r="M490" s="86"/>
    </row>
    <row r="491" spans="1:13" s="87" customFormat="1" ht="15.75">
      <c r="A491" s="173"/>
      <c r="B491" s="136" t="s">
        <v>226</v>
      </c>
      <c r="C491" s="137"/>
      <c r="D491" s="39">
        <v>126939.40000000001</v>
      </c>
      <c r="E491" s="39">
        <f>4066+547+1513.4-0.3-6.3</f>
        <v>6119.7999999999993</v>
      </c>
      <c r="F491" s="40">
        <f t="shared" si="5"/>
        <v>133059.20000000001</v>
      </c>
      <c r="M491" s="86"/>
    </row>
    <row r="492" spans="1:13" s="87" customFormat="1" ht="15.75">
      <c r="A492" s="173"/>
      <c r="B492" s="136" t="s">
        <v>219</v>
      </c>
      <c r="C492" s="137"/>
      <c r="D492" s="39">
        <v>10614.8</v>
      </c>
      <c r="E492" s="39">
        <f>-808-1596-27.3</f>
        <v>-2431.3000000000002</v>
      </c>
      <c r="F492" s="40">
        <f t="shared" si="5"/>
        <v>8183.4999999999991</v>
      </c>
      <c r="M492" s="86"/>
    </row>
    <row r="493" spans="1:13" s="11" customFormat="1" ht="15.75">
      <c r="A493" s="173"/>
      <c r="B493" s="136" t="s">
        <v>49</v>
      </c>
      <c r="C493" s="137"/>
      <c r="D493" s="39">
        <v>475.69999999999993</v>
      </c>
      <c r="E493" s="39">
        <f>-3.7-97.3+27.2+5</f>
        <v>-68.8</v>
      </c>
      <c r="F493" s="40">
        <f t="shared" si="5"/>
        <v>406.89999999999992</v>
      </c>
      <c r="M493" s="5"/>
    </row>
    <row r="494" spans="1:13" s="11" customFormat="1" ht="15.75">
      <c r="A494" s="173"/>
      <c r="B494" s="136" t="s">
        <v>292</v>
      </c>
      <c r="C494" s="137"/>
      <c r="D494" s="39">
        <v>54.1</v>
      </c>
      <c r="E494" s="39">
        <f>0.7-53.4</f>
        <v>-52.699999999999996</v>
      </c>
      <c r="F494" s="40">
        <f t="shared" si="5"/>
        <v>1.4000000000000057</v>
      </c>
      <c r="M494" s="5"/>
    </row>
    <row r="495" spans="1:13" s="11" customFormat="1" ht="15.75">
      <c r="A495" s="173"/>
      <c r="B495" s="136" t="s">
        <v>345</v>
      </c>
      <c r="C495" s="137"/>
      <c r="D495" s="39">
        <v>24933.5</v>
      </c>
      <c r="E495" s="39">
        <f>69.9</f>
        <v>69.900000000000006</v>
      </c>
      <c r="F495" s="40">
        <f t="shared" si="5"/>
        <v>25003.4</v>
      </c>
      <c r="M495" s="5"/>
    </row>
    <row r="496" spans="1:13" s="11" customFormat="1" ht="15.75">
      <c r="A496" s="173"/>
      <c r="B496" s="136" t="s">
        <v>43</v>
      </c>
      <c r="C496" s="137"/>
      <c r="D496" s="39">
        <v>164351.9</v>
      </c>
      <c r="E496" s="39">
        <v>-69.900000000000006</v>
      </c>
      <c r="F496" s="40">
        <f t="shared" si="5"/>
        <v>164282</v>
      </c>
      <c r="M496" s="5"/>
    </row>
    <row r="497" spans="1:13" s="11" customFormat="1" ht="15.75">
      <c r="A497" s="173"/>
      <c r="B497" s="136" t="s">
        <v>136</v>
      </c>
      <c r="C497" s="137"/>
      <c r="D497" s="39">
        <v>45603.3</v>
      </c>
      <c r="E497" s="39">
        <v>-1000</v>
      </c>
      <c r="F497" s="40">
        <f t="shared" si="5"/>
        <v>44603.3</v>
      </c>
      <c r="M497" s="5"/>
    </row>
    <row r="498" spans="1:13" s="11" customFormat="1" ht="15.75">
      <c r="A498" s="173"/>
      <c r="B498" s="136" t="s">
        <v>47</v>
      </c>
      <c r="C498" s="137"/>
      <c r="D498" s="39">
        <v>15467.8</v>
      </c>
      <c r="E498" s="39">
        <f>-750+1000</f>
        <v>250</v>
      </c>
      <c r="F498" s="40">
        <f t="shared" si="5"/>
        <v>15717.8</v>
      </c>
      <c r="M498" s="5"/>
    </row>
    <row r="499" spans="1:13" s="11" customFormat="1" ht="15.75">
      <c r="A499" s="173"/>
      <c r="B499" s="136" t="s">
        <v>224</v>
      </c>
      <c r="C499" s="137"/>
      <c r="D499" s="39">
        <v>2084</v>
      </c>
      <c r="E499" s="39">
        <v>750</v>
      </c>
      <c r="F499" s="40">
        <f t="shared" si="5"/>
        <v>2834</v>
      </c>
      <c r="M499" s="5"/>
    </row>
    <row r="500" spans="1:13" s="11" customFormat="1" ht="15.75">
      <c r="A500" s="173"/>
      <c r="B500" s="136" t="s">
        <v>346</v>
      </c>
      <c r="C500" s="137"/>
      <c r="D500" s="39">
        <v>66826.2</v>
      </c>
      <c r="E500" s="39">
        <f>0.3-0.1</f>
        <v>0.19999999999999998</v>
      </c>
      <c r="F500" s="40">
        <f t="shared" si="5"/>
        <v>66826.399999999994</v>
      </c>
      <c r="M500" s="5"/>
    </row>
    <row r="501" spans="1:13" s="11" customFormat="1" ht="15.75">
      <c r="A501" s="173"/>
      <c r="B501" s="136" t="s">
        <v>87</v>
      </c>
      <c r="C501" s="137"/>
      <c r="D501" s="39">
        <v>11659.8</v>
      </c>
      <c r="E501" s="39">
        <f>-0.3+0.1</f>
        <v>-0.19999999999999998</v>
      </c>
      <c r="F501" s="40">
        <f t="shared" si="5"/>
        <v>11659.599999999999</v>
      </c>
      <c r="M501" s="5"/>
    </row>
    <row r="502" spans="1:13" s="11" customFormat="1" ht="15.75">
      <c r="A502" s="173"/>
      <c r="B502" s="136" t="s">
        <v>327</v>
      </c>
      <c r="C502" s="137"/>
      <c r="D502" s="39">
        <v>1532</v>
      </c>
      <c r="E502" s="39">
        <v>-673.3</v>
      </c>
      <c r="F502" s="40">
        <f t="shared" si="5"/>
        <v>858.7</v>
      </c>
      <c r="M502" s="5"/>
    </row>
    <row r="503" spans="1:13" s="11" customFormat="1" ht="15.75">
      <c r="A503" s="173"/>
      <c r="B503" s="136" t="s">
        <v>676</v>
      </c>
      <c r="C503" s="137"/>
      <c r="D503" s="39">
        <v>402.3</v>
      </c>
      <c r="E503" s="39">
        <f>-8.4-40.3</f>
        <v>-48.699999999999996</v>
      </c>
      <c r="F503" s="40">
        <f t="shared" si="5"/>
        <v>353.6</v>
      </c>
      <c r="M503" s="5"/>
    </row>
    <row r="504" spans="1:13" s="11" customFormat="1" ht="15.75">
      <c r="A504" s="173"/>
      <c r="B504" s="136" t="s">
        <v>675</v>
      </c>
      <c r="C504" s="137"/>
      <c r="D504" s="39">
        <v>87</v>
      </c>
      <c r="E504" s="39">
        <v>-5.0000000000000001E-3</v>
      </c>
      <c r="F504" s="40">
        <f t="shared" si="5"/>
        <v>86.995000000000005</v>
      </c>
      <c r="M504" s="5"/>
    </row>
    <row r="505" spans="1:13" s="11" customFormat="1" ht="15.75">
      <c r="A505" s="173"/>
      <c r="B505" s="136" t="s">
        <v>674</v>
      </c>
      <c r="C505" s="137"/>
      <c r="D505" s="39">
        <v>4646</v>
      </c>
      <c r="E505" s="39">
        <v>-11.370100000000001</v>
      </c>
      <c r="F505" s="40">
        <f t="shared" si="5"/>
        <v>4634.6298999999999</v>
      </c>
      <c r="M505" s="5"/>
    </row>
    <row r="506" spans="1:13" s="11" customFormat="1" ht="15.75">
      <c r="A506" s="173"/>
      <c r="B506" s="136" t="s">
        <v>183</v>
      </c>
      <c r="C506" s="137"/>
      <c r="D506" s="39">
        <v>3423.6</v>
      </c>
      <c r="E506" s="39">
        <v>-4.5999999999999996</v>
      </c>
      <c r="F506" s="40">
        <f t="shared" si="5"/>
        <v>3419</v>
      </c>
      <c r="M506" s="5"/>
    </row>
    <row r="507" spans="1:13" s="87" customFormat="1" ht="15.75">
      <c r="A507" s="173"/>
      <c r="B507" s="136" t="s">
        <v>220</v>
      </c>
      <c r="C507" s="137"/>
      <c r="D507" s="39">
        <v>16792.599999999999</v>
      </c>
      <c r="E507" s="39">
        <f>639.5+105+307.9-0.6-28.9</f>
        <v>1022.9000000000002</v>
      </c>
      <c r="F507" s="40">
        <f t="shared" si="5"/>
        <v>17815.5</v>
      </c>
      <c r="M507" s="86"/>
    </row>
    <row r="508" spans="1:13" s="87" customFormat="1" ht="15.75">
      <c r="A508" s="173"/>
      <c r="B508" s="136" t="s">
        <v>323</v>
      </c>
      <c r="C508" s="137"/>
      <c r="D508" s="39">
        <v>6281</v>
      </c>
      <c r="E508" s="39">
        <f>-700-15</f>
        <v>-715</v>
      </c>
      <c r="F508" s="40">
        <f t="shared" ref="F508:F573" si="7">SUM(D508:E508)</f>
        <v>5566</v>
      </c>
      <c r="M508" s="86"/>
    </row>
    <row r="509" spans="1:13" s="87" customFormat="1" ht="15.75">
      <c r="A509" s="173"/>
      <c r="B509" s="136" t="s">
        <v>322</v>
      </c>
      <c r="C509" s="137"/>
      <c r="D509" s="39">
        <v>1473.2</v>
      </c>
      <c r="E509" s="39">
        <f>-340.8-700</f>
        <v>-1040.8</v>
      </c>
      <c r="F509" s="40">
        <f t="shared" si="7"/>
        <v>432.40000000000009</v>
      </c>
      <c r="M509" s="86"/>
    </row>
    <row r="510" spans="1:13" s="86" customFormat="1" ht="15.75">
      <c r="A510" s="173"/>
      <c r="B510" s="174" t="s">
        <v>218</v>
      </c>
      <c r="C510" s="175"/>
      <c r="D510" s="36">
        <v>5420.5</v>
      </c>
      <c r="E510" s="39">
        <f>172.8+2.9+63.4</f>
        <v>239.10000000000002</v>
      </c>
      <c r="F510" s="40">
        <f t="shared" si="7"/>
        <v>5659.6</v>
      </c>
    </row>
    <row r="511" spans="1:13" s="86" customFormat="1" ht="15.75">
      <c r="A511" s="173"/>
      <c r="B511" s="174" t="s">
        <v>223</v>
      </c>
      <c r="C511" s="175"/>
      <c r="D511" s="36">
        <v>33565.5</v>
      </c>
      <c r="E511" s="39">
        <f>855.3-1000-400+451.7-15.5</f>
        <v>-108.50000000000006</v>
      </c>
      <c r="F511" s="40">
        <f t="shared" si="7"/>
        <v>33457</v>
      </c>
    </row>
    <row r="512" spans="1:13" s="86" customFormat="1" ht="15.75">
      <c r="A512" s="173"/>
      <c r="B512" s="174" t="s">
        <v>423</v>
      </c>
      <c r="C512" s="175"/>
      <c r="D512" s="36">
        <v>250</v>
      </c>
      <c r="E512" s="39">
        <v>-100</v>
      </c>
      <c r="F512" s="40">
        <f>SUM(D512:E512)</f>
        <v>150</v>
      </c>
    </row>
    <row r="513" spans="1:6" s="86" customFormat="1" ht="15.75">
      <c r="A513" s="173"/>
      <c r="B513" s="136" t="s">
        <v>685</v>
      </c>
      <c r="C513" s="137"/>
      <c r="D513" s="36">
        <v>1832.4</v>
      </c>
      <c r="E513" s="39">
        <v>-81.905959999999993</v>
      </c>
      <c r="F513" s="35">
        <f t="shared" ref="F513:F515" si="8">SUM(D513:E513)</f>
        <v>1750.49404</v>
      </c>
    </row>
    <row r="514" spans="1:6" s="86" customFormat="1" ht="15.75">
      <c r="A514" s="173"/>
      <c r="B514" s="136" t="s">
        <v>663</v>
      </c>
      <c r="C514" s="137"/>
      <c r="D514" s="36">
        <v>586.6</v>
      </c>
      <c r="E514" s="39">
        <v>81.905959999999993</v>
      </c>
      <c r="F514" s="35">
        <f t="shared" si="8"/>
        <v>668.50595999999996</v>
      </c>
    </row>
    <row r="515" spans="1:6" s="86" customFormat="1" ht="15.75">
      <c r="A515" s="173"/>
      <c r="B515" s="136" t="s">
        <v>144</v>
      </c>
      <c r="C515" s="137"/>
      <c r="D515" s="36">
        <v>5907</v>
      </c>
      <c r="E515" s="39">
        <v>8.5307399999999998</v>
      </c>
      <c r="F515" s="35">
        <f t="shared" si="8"/>
        <v>5915.5307400000002</v>
      </c>
    </row>
    <row r="516" spans="1:6" s="86" customFormat="1" ht="15.75">
      <c r="A516" s="195"/>
      <c r="B516" s="136" t="s">
        <v>664</v>
      </c>
      <c r="C516" s="137"/>
      <c r="D516" s="36">
        <v>0</v>
      </c>
      <c r="E516" s="39">
        <v>15</v>
      </c>
      <c r="F516" s="40">
        <f t="shared" si="7"/>
        <v>15</v>
      </c>
    </row>
    <row r="517" spans="1:6" s="86" customFormat="1" ht="16.5" customHeight="1">
      <c r="A517" s="172" t="s">
        <v>14</v>
      </c>
      <c r="B517" s="174" t="s">
        <v>68</v>
      </c>
      <c r="C517" s="175"/>
      <c r="D517" s="36">
        <v>21233.300000000003</v>
      </c>
      <c r="E517" s="39">
        <f>5.3+629+4+30.6-5.2+3.6+3.9+79.2+10.4+374.5-10.3</f>
        <v>1125</v>
      </c>
      <c r="F517" s="35">
        <f t="shared" si="7"/>
        <v>22358.300000000003</v>
      </c>
    </row>
    <row r="518" spans="1:6" s="86" customFormat="1" ht="16.5" customHeight="1">
      <c r="A518" s="173"/>
      <c r="B518" s="174" t="s">
        <v>384</v>
      </c>
      <c r="C518" s="175"/>
      <c r="D518" s="36">
        <v>90.5</v>
      </c>
      <c r="E518" s="39">
        <f>-14</f>
        <v>-14</v>
      </c>
      <c r="F518" s="35">
        <f t="shared" si="7"/>
        <v>76.5</v>
      </c>
    </row>
    <row r="519" spans="1:6" s="86" customFormat="1" ht="16.5" customHeight="1">
      <c r="A519" s="173"/>
      <c r="B519" s="136" t="s">
        <v>665</v>
      </c>
      <c r="C519" s="137"/>
      <c r="D519" s="36">
        <v>34.299999999999997</v>
      </c>
      <c r="E519" s="39">
        <v>11.3751</v>
      </c>
      <c r="F519" s="35">
        <f t="shared" si="7"/>
        <v>45.6751</v>
      </c>
    </row>
    <row r="520" spans="1:6" s="86" customFormat="1" ht="15.75">
      <c r="A520" s="173"/>
      <c r="B520" s="174" t="s">
        <v>51</v>
      </c>
      <c r="C520" s="175"/>
      <c r="D520" s="36">
        <v>39543.800000000003</v>
      </c>
      <c r="E520" s="39">
        <f>23.6+16+921.2-15.3+2.9-5.8-2.6-55.2+12.2+122.3+7.2+30.3+302.1-10.4+542.75+50-0.2</f>
        <v>1941.05</v>
      </c>
      <c r="F520" s="35">
        <f t="shared" si="7"/>
        <v>41484.850000000006</v>
      </c>
    </row>
    <row r="521" spans="1:6" s="86" customFormat="1" ht="15.75">
      <c r="A521" s="173"/>
      <c r="B521" s="174" t="s">
        <v>56</v>
      </c>
      <c r="C521" s="175"/>
      <c r="D521" s="36">
        <v>2530</v>
      </c>
      <c r="E521" s="39">
        <f>1.4+84.5+0.6-5+7.17-105.7+0.4+13.7+38.75-0.1</f>
        <v>35.719999999999992</v>
      </c>
      <c r="F521" s="35">
        <f t="shared" si="7"/>
        <v>2565.7199999999998</v>
      </c>
    </row>
    <row r="522" spans="1:6" s="86" customFormat="1" ht="16.5" customHeight="1">
      <c r="A522" s="173"/>
      <c r="B522" s="174" t="s">
        <v>411</v>
      </c>
      <c r="C522" s="175"/>
      <c r="D522" s="36">
        <v>21</v>
      </c>
      <c r="E522" s="39">
        <v>-21</v>
      </c>
      <c r="F522" s="35">
        <f t="shared" si="7"/>
        <v>0</v>
      </c>
    </row>
    <row r="523" spans="1:6" s="86" customFormat="1" ht="15.75">
      <c r="A523" s="173"/>
      <c r="B523" s="136" t="s">
        <v>67</v>
      </c>
      <c r="C523" s="137"/>
      <c r="D523" s="36">
        <v>13240.8</v>
      </c>
      <c r="E523" s="39">
        <f>-30.3-16+487.8+15.3+1.2+17.43+8.5-12.2-10.9+1.1+6.1+70.8+197.4-0.1-1.7</f>
        <v>734.43</v>
      </c>
      <c r="F523" s="35">
        <f t="shared" si="7"/>
        <v>13975.23</v>
      </c>
    </row>
    <row r="524" spans="1:6" s="86" customFormat="1" ht="15.75">
      <c r="A524" s="173"/>
      <c r="B524" s="174" t="s">
        <v>96</v>
      </c>
      <c r="C524" s="175"/>
      <c r="D524" s="36">
        <v>931.3</v>
      </c>
      <c r="E524" s="39">
        <f>-0.4-6.3</f>
        <v>-6.7</v>
      </c>
      <c r="F524" s="35">
        <f>SUM(D524:E524)</f>
        <v>924.59999999999991</v>
      </c>
    </row>
    <row r="525" spans="1:6" s="86" customFormat="1" ht="15.75">
      <c r="A525" s="173"/>
      <c r="B525" s="174" t="s">
        <v>97</v>
      </c>
      <c r="C525" s="175"/>
      <c r="D525" s="36">
        <v>60.7</v>
      </c>
      <c r="E525" s="39">
        <f>-0.1+3-2</f>
        <v>0.89999999999999991</v>
      </c>
      <c r="F525" s="35">
        <f t="shared" si="7"/>
        <v>61.6</v>
      </c>
    </row>
    <row r="526" spans="1:6" s="86" customFormat="1" ht="15.75">
      <c r="A526" s="173"/>
      <c r="B526" s="174" t="s">
        <v>101</v>
      </c>
      <c r="C526" s="175"/>
      <c r="D526" s="36">
        <v>9.1999999999999993</v>
      </c>
      <c r="E526" s="39">
        <v>0.1</v>
      </c>
      <c r="F526" s="35">
        <f t="shared" si="7"/>
        <v>9.2999999999999989</v>
      </c>
    </row>
    <row r="527" spans="1:6" s="86" customFormat="1" ht="15.75">
      <c r="A527" s="173"/>
      <c r="B527" s="174" t="s">
        <v>52</v>
      </c>
      <c r="C527" s="175"/>
      <c r="D527" s="36">
        <v>2486.3000000000002</v>
      </c>
      <c r="E527" s="39">
        <f>0.4+80.4+1.9+36.3-4</f>
        <v>115.00000000000001</v>
      </c>
      <c r="F527" s="35">
        <f t="shared" si="7"/>
        <v>2601.3000000000002</v>
      </c>
    </row>
    <row r="528" spans="1:6" s="86" customFormat="1" ht="15.75" customHeight="1">
      <c r="A528" s="195"/>
      <c r="B528" s="174" t="s">
        <v>53</v>
      </c>
      <c r="C528" s="175"/>
      <c r="D528" s="36">
        <v>488.3</v>
      </c>
      <c r="E528" s="39">
        <f>10.6+18.1+7.6+4</f>
        <v>40.300000000000004</v>
      </c>
      <c r="F528" s="35">
        <f t="shared" si="7"/>
        <v>528.6</v>
      </c>
    </row>
    <row r="529" spans="1:6" s="86" customFormat="1" ht="15.75" customHeight="1">
      <c r="A529" s="172" t="s">
        <v>25</v>
      </c>
      <c r="B529" s="136" t="s">
        <v>666</v>
      </c>
      <c r="C529" s="137"/>
      <c r="D529" s="36">
        <v>0</v>
      </c>
      <c r="E529" s="39">
        <v>15.125999999999999</v>
      </c>
      <c r="F529" s="35">
        <f t="shared" si="7"/>
        <v>15.125999999999999</v>
      </c>
    </row>
    <row r="530" spans="1:6" s="86" customFormat="1" ht="15.75" customHeight="1">
      <c r="A530" s="173"/>
      <c r="B530" s="136" t="s">
        <v>118</v>
      </c>
      <c r="C530" s="137"/>
      <c r="D530" s="36">
        <v>5723.9</v>
      </c>
      <c r="E530" s="39">
        <f>42.2+2.6-4.9</f>
        <v>39.900000000000006</v>
      </c>
      <c r="F530" s="35">
        <f t="shared" si="7"/>
        <v>5763.7999999999993</v>
      </c>
    </row>
    <row r="531" spans="1:6" s="86" customFormat="1" ht="15.75" customHeight="1">
      <c r="A531" s="173"/>
      <c r="B531" s="136" t="s">
        <v>117</v>
      </c>
      <c r="C531" s="137"/>
      <c r="D531" s="36">
        <v>30.6</v>
      </c>
      <c r="E531" s="39">
        <f>-2.6-0.2</f>
        <v>-2.8000000000000003</v>
      </c>
      <c r="F531" s="35">
        <f t="shared" si="7"/>
        <v>27.8</v>
      </c>
    </row>
    <row r="532" spans="1:6" s="86" customFormat="1" ht="15.75">
      <c r="A532" s="173"/>
      <c r="B532" s="136" t="s">
        <v>667</v>
      </c>
      <c r="C532" s="137"/>
      <c r="D532" s="39">
        <v>0.1</v>
      </c>
      <c r="E532" s="35">
        <v>-5.7299999999999997E-2</v>
      </c>
      <c r="F532" s="35">
        <f t="shared" si="7"/>
        <v>4.2700000000000009E-2</v>
      </c>
    </row>
    <row r="533" spans="1:6" s="86" customFormat="1" ht="15.75">
      <c r="A533" s="173"/>
      <c r="B533" s="136" t="s">
        <v>331</v>
      </c>
      <c r="C533" s="137"/>
      <c r="D533" s="39">
        <v>9.9</v>
      </c>
      <c r="E533" s="35">
        <v>5.7299999999999997E-2</v>
      </c>
      <c r="F533" s="35">
        <f t="shared" si="7"/>
        <v>9.9573</v>
      </c>
    </row>
    <row r="534" spans="1:6" s="86" customFormat="1" ht="15.75">
      <c r="A534" s="173"/>
      <c r="B534" s="136" t="s">
        <v>143</v>
      </c>
      <c r="C534" s="137"/>
      <c r="D534" s="39">
        <v>11838</v>
      </c>
      <c r="E534" s="91">
        <f>-9.1-5.70377-1.8</f>
        <v>-16.603770000000001</v>
      </c>
      <c r="F534" s="35">
        <f t="shared" si="7"/>
        <v>11821.39623</v>
      </c>
    </row>
    <row r="535" spans="1:6" s="86" customFormat="1" ht="15.75">
      <c r="A535" s="173"/>
      <c r="B535" s="136" t="s">
        <v>668</v>
      </c>
      <c r="C535" s="137"/>
      <c r="D535" s="39">
        <v>51</v>
      </c>
      <c r="E535" s="35">
        <f>9.1-0.07507-0.9519</f>
        <v>8.0730299999999993</v>
      </c>
      <c r="F535" s="35">
        <f t="shared" si="7"/>
        <v>59.073030000000003</v>
      </c>
    </row>
    <row r="536" spans="1:6" ht="15.75">
      <c r="A536" s="173"/>
      <c r="B536" s="174" t="s">
        <v>405</v>
      </c>
      <c r="C536" s="175"/>
      <c r="D536" s="39">
        <v>1.7</v>
      </c>
      <c r="E536" s="39">
        <f>0.5+0.00844</f>
        <v>0.50844</v>
      </c>
      <c r="F536" s="35">
        <f t="shared" si="7"/>
        <v>2.20844</v>
      </c>
    </row>
    <row r="537" spans="1:6" ht="15.75">
      <c r="A537" s="173"/>
      <c r="B537" s="174" t="s">
        <v>376</v>
      </c>
      <c r="C537" s="175"/>
      <c r="D537" s="39">
        <v>436.3</v>
      </c>
      <c r="E537" s="39">
        <f>-0.5-0.00844</f>
        <v>-0.50844</v>
      </c>
      <c r="F537" s="35">
        <f t="shared" si="7"/>
        <v>435.79156</v>
      </c>
    </row>
    <row r="538" spans="1:6" ht="15.75">
      <c r="A538" s="173"/>
      <c r="B538" s="136" t="s">
        <v>673</v>
      </c>
      <c r="C538" s="137"/>
      <c r="D538" s="39">
        <v>2</v>
      </c>
      <c r="E538" s="39">
        <v>-1.90242</v>
      </c>
      <c r="F538" s="35">
        <f t="shared" si="7"/>
        <v>9.758E-2</v>
      </c>
    </row>
    <row r="539" spans="1:6" ht="15.75">
      <c r="A539" s="173"/>
      <c r="B539" s="136" t="s">
        <v>147</v>
      </c>
      <c r="C539" s="137"/>
      <c r="D539" s="39">
        <v>52309</v>
      </c>
      <c r="E539" s="39">
        <v>1.90242</v>
      </c>
      <c r="F539" s="35">
        <f t="shared" si="7"/>
        <v>52310.902419999999</v>
      </c>
    </row>
    <row r="540" spans="1:6" s="86" customFormat="1" ht="15.75">
      <c r="A540" s="173"/>
      <c r="B540" s="136" t="s">
        <v>75</v>
      </c>
      <c r="C540" s="137"/>
      <c r="D540" s="39">
        <v>622.19999999999993</v>
      </c>
      <c r="E540" s="35">
        <f>10+10-50+20</f>
        <v>-10</v>
      </c>
      <c r="F540" s="35">
        <f t="shared" si="7"/>
        <v>612.19999999999993</v>
      </c>
    </row>
    <row r="541" spans="1:6" s="86" customFormat="1" ht="15.75">
      <c r="A541" s="173"/>
      <c r="B541" s="136" t="s">
        <v>76</v>
      </c>
      <c r="C541" s="137"/>
      <c r="D541" s="39">
        <v>1629.5</v>
      </c>
      <c r="E541" s="35">
        <f>-10-10+120+50+5+30</f>
        <v>185</v>
      </c>
      <c r="F541" s="35">
        <f t="shared" si="7"/>
        <v>1814.5</v>
      </c>
    </row>
    <row r="542" spans="1:6" s="86" customFormat="1" ht="15.75">
      <c r="A542" s="173"/>
      <c r="B542" s="136" t="s">
        <v>672</v>
      </c>
      <c r="C542" s="137"/>
      <c r="D542" s="39">
        <v>970.3</v>
      </c>
      <c r="E542" s="35">
        <f>-20-5-113.6</f>
        <v>-138.6</v>
      </c>
      <c r="F542" s="35">
        <f t="shared" si="7"/>
        <v>831.69999999999993</v>
      </c>
    </row>
    <row r="543" spans="1:6" s="86" customFormat="1" ht="15.75">
      <c r="A543" s="173"/>
      <c r="B543" s="136" t="s">
        <v>295</v>
      </c>
      <c r="C543" s="137"/>
      <c r="D543" s="39">
        <v>18752.599999999999</v>
      </c>
      <c r="E543" s="35">
        <f>-73.6-1</f>
        <v>-74.599999999999994</v>
      </c>
      <c r="F543" s="35">
        <f t="shared" si="7"/>
        <v>18678</v>
      </c>
    </row>
    <row r="544" spans="1:6" s="86" customFormat="1" ht="15.75">
      <c r="A544" s="195"/>
      <c r="B544" s="136" t="s">
        <v>155</v>
      </c>
      <c r="C544" s="137"/>
      <c r="D544" s="39">
        <v>1230</v>
      </c>
      <c r="E544" s="35">
        <f>73.6+1</f>
        <v>74.599999999999994</v>
      </c>
      <c r="F544" s="35">
        <f t="shared" si="7"/>
        <v>1304.5999999999999</v>
      </c>
    </row>
    <row r="545" spans="1:6" s="86" customFormat="1" ht="15.75">
      <c r="A545" s="172" t="s">
        <v>37</v>
      </c>
      <c r="B545" s="174" t="s">
        <v>477</v>
      </c>
      <c r="C545" s="175"/>
      <c r="D545" s="36">
        <v>2114.4</v>
      </c>
      <c r="E545" s="39">
        <f>-500-255.7-13.9-42.6-15-119-169.2-12.4-42.2-19.6-48.5615-13.9-227.2652-57.965-547.1083-30</f>
        <v>-2114.4</v>
      </c>
      <c r="F545" s="35">
        <f t="shared" si="7"/>
        <v>0</v>
      </c>
    </row>
    <row r="546" spans="1:6" s="86" customFormat="1" ht="15.75">
      <c r="A546" s="173"/>
      <c r="B546" s="136" t="s">
        <v>475</v>
      </c>
      <c r="C546" s="137"/>
      <c r="D546" s="36">
        <v>6340.3</v>
      </c>
      <c r="E546" s="39">
        <f>-6340.3-30+30</f>
        <v>-6340.3</v>
      </c>
      <c r="F546" s="35">
        <f t="shared" si="7"/>
        <v>0</v>
      </c>
    </row>
    <row r="547" spans="1:6" s="86" customFormat="1" ht="15.75">
      <c r="A547" s="195"/>
      <c r="B547" s="174" t="s">
        <v>476</v>
      </c>
      <c r="C547" s="175"/>
      <c r="D547" s="36">
        <v>3256.3</v>
      </c>
      <c r="E547" s="39">
        <f>88.4+88.1+169.2+12.4+34.5-1827.83-1532.54192-51.724-100-94.69446-3.6-15.126+30-3.89671</f>
        <v>-3206.8130900000006</v>
      </c>
      <c r="F547" s="35">
        <f t="shared" si="7"/>
        <v>49.486909999999625</v>
      </c>
    </row>
    <row r="548" spans="1:6" s="86" customFormat="1" ht="15.75">
      <c r="A548" s="172" t="s">
        <v>26</v>
      </c>
      <c r="B548" s="136" t="s">
        <v>403</v>
      </c>
      <c r="C548" s="137"/>
      <c r="D548" s="36">
        <v>0</v>
      </c>
      <c r="E548" s="39">
        <f>500+100+200+204.6</f>
        <v>1004.6</v>
      </c>
      <c r="F548" s="40">
        <f t="shared" si="7"/>
        <v>1004.6</v>
      </c>
    </row>
    <row r="549" spans="1:6" s="86" customFormat="1" ht="15.75">
      <c r="A549" s="173"/>
      <c r="B549" s="136" t="s">
        <v>669</v>
      </c>
      <c r="C549" s="137"/>
      <c r="D549" s="36">
        <v>0</v>
      </c>
      <c r="E549" s="39">
        <v>3.6</v>
      </c>
      <c r="F549" s="40">
        <f t="shared" si="7"/>
        <v>3.6</v>
      </c>
    </row>
    <row r="550" spans="1:6" s="86" customFormat="1" ht="15.75">
      <c r="A550" s="173"/>
      <c r="B550" s="136" t="s">
        <v>132</v>
      </c>
      <c r="C550" s="137"/>
      <c r="D550" s="36">
        <v>986</v>
      </c>
      <c r="E550" s="39">
        <f>-10-13.4</f>
        <v>-23.4</v>
      </c>
      <c r="F550" s="40">
        <f t="shared" si="7"/>
        <v>962.6</v>
      </c>
    </row>
    <row r="551" spans="1:6" ht="15.75">
      <c r="A551" s="173"/>
      <c r="B551" s="136" t="s">
        <v>407</v>
      </c>
      <c r="C551" s="137"/>
      <c r="D551" s="36">
        <v>40204.400000000001</v>
      </c>
      <c r="E551" s="39">
        <f>-8000-110+1500+338+999.2</f>
        <v>-5272.8</v>
      </c>
      <c r="F551" s="40">
        <f t="shared" si="7"/>
        <v>34931.599999999999</v>
      </c>
    </row>
    <row r="552" spans="1:6" s="86" customFormat="1" ht="15.75">
      <c r="A552" s="173"/>
      <c r="B552" s="174" t="s">
        <v>83</v>
      </c>
      <c r="C552" s="175"/>
      <c r="D552" s="36">
        <v>78323.199999999997</v>
      </c>
      <c r="E552" s="39">
        <f>4000+1500+4900-74-55+200+124+100+200+9800+1000+1000+1747.3+500+156.9+600+4286.8+563.2-2000</f>
        <v>28549.200000000001</v>
      </c>
      <c r="F552" s="40">
        <f t="shared" si="7"/>
        <v>106872.4</v>
      </c>
    </row>
    <row r="553" spans="1:6" s="86" customFormat="1" ht="15.75">
      <c r="A553" s="173"/>
      <c r="B553" s="174" t="s">
        <v>138</v>
      </c>
      <c r="C553" s="175"/>
      <c r="D553" s="36">
        <v>11736</v>
      </c>
      <c r="E553" s="39">
        <f>-1000-114-200-42+290+500+419</f>
        <v>-147</v>
      </c>
      <c r="F553" s="40">
        <f t="shared" si="7"/>
        <v>11589</v>
      </c>
    </row>
    <row r="554" spans="1:6" s="86" customFormat="1" ht="15.75">
      <c r="A554" s="173"/>
      <c r="B554" s="174" t="s">
        <v>398</v>
      </c>
      <c r="C554" s="175"/>
      <c r="D554" s="36">
        <v>831.6</v>
      </c>
      <c r="E554" s="39">
        <f>-400+115+74</f>
        <v>-211</v>
      </c>
      <c r="F554" s="40">
        <f t="shared" si="7"/>
        <v>620.6</v>
      </c>
    </row>
    <row r="555" spans="1:6" s="86" customFormat="1" ht="15.75">
      <c r="A555" s="173"/>
      <c r="B555" s="136" t="s">
        <v>402</v>
      </c>
      <c r="C555" s="137"/>
      <c r="D555" s="36">
        <v>1590.9</v>
      </c>
      <c r="E555" s="39">
        <f>-500-100-500</f>
        <v>-1100</v>
      </c>
      <c r="F555" s="40">
        <f t="shared" si="7"/>
        <v>490.90000000000009</v>
      </c>
    </row>
    <row r="556" spans="1:6" ht="15.75">
      <c r="A556" s="173"/>
      <c r="B556" s="136" t="s">
        <v>93</v>
      </c>
      <c r="C556" s="137"/>
      <c r="D556" s="36">
        <v>13507.1</v>
      </c>
      <c r="E556" s="39">
        <v>-2000</v>
      </c>
      <c r="F556" s="40">
        <f t="shared" si="7"/>
        <v>11507.1</v>
      </c>
    </row>
    <row r="557" spans="1:6" ht="15.75">
      <c r="A557" s="173"/>
      <c r="B557" s="136" t="s">
        <v>100</v>
      </c>
      <c r="C557" s="137"/>
      <c r="D557" s="36">
        <v>69090</v>
      </c>
      <c r="E557" s="39">
        <f>-110-3000</f>
        <v>-3110</v>
      </c>
      <c r="F557" s="40">
        <f t="shared" si="7"/>
        <v>65980</v>
      </c>
    </row>
    <row r="558" spans="1:6" ht="15.75">
      <c r="A558" s="173"/>
      <c r="B558" s="136" t="s">
        <v>291</v>
      </c>
      <c r="C558" s="137"/>
      <c r="D558" s="36">
        <v>770</v>
      </c>
      <c r="E558" s="39">
        <v>-200</v>
      </c>
      <c r="F558" s="40">
        <f t="shared" si="7"/>
        <v>570</v>
      </c>
    </row>
    <row r="559" spans="1:6" ht="15.75">
      <c r="A559" s="173"/>
      <c r="B559" s="136" t="s">
        <v>670</v>
      </c>
      <c r="C559" s="137"/>
      <c r="D559" s="36">
        <v>150</v>
      </c>
      <c r="E559" s="39">
        <f>-45-82</f>
        <v>-127</v>
      </c>
      <c r="F559" s="40">
        <f t="shared" si="7"/>
        <v>23</v>
      </c>
    </row>
    <row r="560" spans="1:6" ht="15.75">
      <c r="A560" s="173"/>
      <c r="B560" s="136" t="s">
        <v>671</v>
      </c>
      <c r="C560" s="137"/>
      <c r="D560" s="36">
        <v>240</v>
      </c>
      <c r="E560" s="39">
        <v>100</v>
      </c>
      <c r="F560" s="40">
        <f t="shared" si="7"/>
        <v>340</v>
      </c>
    </row>
    <row r="561" spans="1:10" ht="15.75">
      <c r="A561" s="173"/>
      <c r="B561" s="136" t="s">
        <v>412</v>
      </c>
      <c r="C561" s="137"/>
      <c r="D561" s="36">
        <v>1000</v>
      </c>
      <c r="E561" s="39">
        <f>-500-200-100-200</f>
        <v>-1000</v>
      </c>
      <c r="F561" s="40">
        <f t="shared" si="7"/>
        <v>0</v>
      </c>
    </row>
    <row r="562" spans="1:10" ht="15.75">
      <c r="A562" s="173"/>
      <c r="B562" s="136" t="s">
        <v>69</v>
      </c>
      <c r="C562" s="137"/>
      <c r="D562" s="36">
        <v>73074.399999999994</v>
      </c>
      <c r="E562" s="39">
        <f>3000+6448.7-554+51380+313.1+300+1000+1000+31756.9-338-1443.7+965.8-965.8-40.3-131.8-20-603.1+3293.8-3293.8+1218-3159.1-709.6-156.9+1900-3599.2-2392.2-4286.8-1.1-563.2-5-3930.6-6116.7</f>
        <v>70265.39999999998</v>
      </c>
      <c r="F562" s="40">
        <f t="shared" si="7"/>
        <v>143339.79999999999</v>
      </c>
    </row>
    <row r="563" spans="1:10" ht="15.75">
      <c r="A563" s="173"/>
      <c r="B563" s="136" t="s">
        <v>413</v>
      </c>
      <c r="C563" s="137"/>
      <c r="D563" s="36">
        <v>1909.5</v>
      </c>
      <c r="E563" s="39">
        <v>551.29999999999995</v>
      </c>
      <c r="F563" s="40">
        <f t="shared" si="7"/>
        <v>2460.8000000000002</v>
      </c>
    </row>
    <row r="564" spans="1:10" ht="15.75">
      <c r="A564" s="173"/>
      <c r="B564" s="136" t="s">
        <v>133</v>
      </c>
      <c r="C564" s="137"/>
      <c r="D564" s="36">
        <v>1063.2</v>
      </c>
      <c r="E564" s="39">
        <v>-79.8</v>
      </c>
      <c r="F564" s="40">
        <f t="shared" si="7"/>
        <v>983.40000000000009</v>
      </c>
    </row>
    <row r="565" spans="1:10" s="86" customFormat="1" ht="15.75">
      <c r="A565" s="173"/>
      <c r="B565" s="136" t="s">
        <v>399</v>
      </c>
      <c r="C565" s="137"/>
      <c r="D565" s="36">
        <v>500</v>
      </c>
      <c r="E565" s="39">
        <f>-100-15</f>
        <v>-115</v>
      </c>
      <c r="F565" s="40">
        <f t="shared" si="7"/>
        <v>385</v>
      </c>
    </row>
    <row r="566" spans="1:10" s="86" customFormat="1" ht="15.75">
      <c r="A566" s="173"/>
      <c r="B566" s="136" t="s">
        <v>416</v>
      </c>
      <c r="C566" s="137"/>
      <c r="D566" s="36">
        <v>4092.7</v>
      </c>
      <c r="E566" s="39">
        <v>1058</v>
      </c>
      <c r="F566" s="40">
        <f t="shared" si="7"/>
        <v>5150.7</v>
      </c>
    </row>
    <row r="567" spans="1:10" s="86" customFormat="1" ht="15.75">
      <c r="A567" s="173"/>
      <c r="B567" s="136" t="s">
        <v>304</v>
      </c>
      <c r="C567" s="137"/>
      <c r="D567" s="36">
        <v>3100</v>
      </c>
      <c r="E567" s="39">
        <v>-1500</v>
      </c>
      <c r="F567" s="40">
        <f t="shared" si="7"/>
        <v>1600</v>
      </c>
    </row>
    <row r="568" spans="1:10" s="86" customFormat="1" ht="15.75">
      <c r="A568" s="173"/>
      <c r="B568" s="136" t="s">
        <v>382</v>
      </c>
      <c r="C568" s="137"/>
      <c r="D568" s="36">
        <v>1000</v>
      </c>
      <c r="E568" s="39">
        <f>-500-100-22</f>
        <v>-622</v>
      </c>
      <c r="F568" s="40">
        <f t="shared" si="7"/>
        <v>378</v>
      </c>
    </row>
    <row r="569" spans="1:10" s="86" customFormat="1" ht="15.75">
      <c r="A569" s="173"/>
      <c r="B569" s="136" t="s">
        <v>305</v>
      </c>
      <c r="C569" s="137"/>
      <c r="D569" s="36">
        <v>8605</v>
      </c>
      <c r="E569" s="39">
        <f>-1000-900+191+287.5+24.7+20+10+100+1.1+5</f>
        <v>-1260.7</v>
      </c>
      <c r="F569" s="40">
        <f t="shared" si="7"/>
        <v>7344.3</v>
      </c>
    </row>
    <row r="570" spans="1:10" s="86" customFormat="1" ht="15.75">
      <c r="A570" s="173"/>
      <c r="B570" s="174" t="s">
        <v>185</v>
      </c>
      <c r="C570" s="175"/>
      <c r="D570" s="36">
        <v>6056.9</v>
      </c>
      <c r="E570" s="39">
        <f>239.3+55+13.4+109.2</f>
        <v>416.9</v>
      </c>
      <c r="F570" s="40">
        <f t="shared" si="7"/>
        <v>6473.7999999999993</v>
      </c>
    </row>
    <row r="571" spans="1:10" s="86" customFormat="1" ht="15.75">
      <c r="A571" s="173"/>
      <c r="B571" s="136" t="s">
        <v>186</v>
      </c>
      <c r="C571" s="137"/>
      <c r="D571" s="36">
        <v>4060.2</v>
      </c>
      <c r="E571" s="39">
        <f>-18-0.8</f>
        <v>-18.8</v>
      </c>
      <c r="F571" s="40">
        <f t="shared" si="7"/>
        <v>4041.3999999999996</v>
      </c>
    </row>
    <row r="572" spans="1:10" s="86" customFormat="1" ht="15.75">
      <c r="A572" s="173"/>
      <c r="B572" s="136" t="s">
        <v>140</v>
      </c>
      <c r="C572" s="137"/>
      <c r="D572" s="36">
        <v>220.1</v>
      </c>
      <c r="E572" s="39">
        <v>28</v>
      </c>
      <c r="F572" s="40">
        <f t="shared" si="7"/>
        <v>248.1</v>
      </c>
    </row>
    <row r="573" spans="1:10" s="86" customFormat="1" ht="15.75">
      <c r="A573" s="173"/>
      <c r="B573" s="174" t="s">
        <v>187</v>
      </c>
      <c r="C573" s="175"/>
      <c r="D573" s="36">
        <v>11378.8</v>
      </c>
      <c r="E573" s="39">
        <f>372.7+183.4-3.7-55.3</f>
        <v>497.09999999999997</v>
      </c>
      <c r="F573" s="40">
        <f t="shared" si="7"/>
        <v>11875.9</v>
      </c>
    </row>
    <row r="574" spans="1:10" ht="15.75">
      <c r="A574" s="173"/>
      <c r="B574" s="136" t="s">
        <v>406</v>
      </c>
      <c r="C574" s="137"/>
      <c r="D574" s="36">
        <v>476</v>
      </c>
      <c r="E574" s="39">
        <f>79.8+393.8</f>
        <v>473.6</v>
      </c>
      <c r="F574" s="40">
        <f>SUM(D574:E574)</f>
        <v>949.6</v>
      </c>
    </row>
    <row r="575" spans="1:10" ht="15.75">
      <c r="A575" s="195"/>
      <c r="B575" s="136" t="s">
        <v>414</v>
      </c>
      <c r="C575" s="137"/>
      <c r="D575" s="36">
        <v>2680.2</v>
      </c>
      <c r="E575" s="39">
        <f>-1000-194-200</f>
        <v>-1394</v>
      </c>
      <c r="F575" s="40">
        <f>SUM(D575:E575)</f>
        <v>1286.1999999999998</v>
      </c>
    </row>
    <row r="576" spans="1:10" ht="15.75">
      <c r="A576" s="7" t="s">
        <v>6</v>
      </c>
      <c r="B576" s="182"/>
      <c r="C576" s="182"/>
      <c r="D576" s="8" t="s">
        <v>20</v>
      </c>
      <c r="E576" s="9">
        <f>SUM(E409:E575)</f>
        <v>101962.05498999999</v>
      </c>
      <c r="F576" s="8"/>
      <c r="G576" s="121">
        <f>88.4+88.1+13081+100000-97.3+120-26.2+5+50-24.4-253.7-3.89671+30+50-547.1083-2000-96.2-1720.8-4.9-0.2-106.5-99.9-42.4-2.64-6116.7-31.3-113.6-55.3-3.9-86-12.1-3.8-101.6</f>
        <v>101962.05499</v>
      </c>
      <c r="H576" s="90">
        <f>G576-E576</f>
        <v>0</v>
      </c>
      <c r="J576" s="16"/>
    </row>
    <row r="577" spans="1:13" ht="7.5" customHeight="1">
      <c r="A577" s="2"/>
      <c r="B577" s="3"/>
      <c r="C577" s="3"/>
      <c r="D577" s="4"/>
      <c r="E577" s="1"/>
      <c r="F577" s="4"/>
    </row>
    <row r="578" spans="1:13" s="62" customFormat="1" ht="159.75" customHeight="1">
      <c r="A578" s="259" t="s">
        <v>691</v>
      </c>
      <c r="B578" s="259"/>
      <c r="C578" s="259"/>
      <c r="D578" s="259"/>
      <c r="E578" s="259"/>
      <c r="F578" s="259"/>
    </row>
    <row r="579" spans="1:13" ht="24" hidden="1" customHeight="1">
      <c r="A579" s="196" t="s">
        <v>273</v>
      </c>
      <c r="B579" s="196"/>
      <c r="C579" s="196"/>
      <c r="D579" s="196"/>
      <c r="E579" s="196"/>
      <c r="F579" s="196"/>
      <c r="G579" s="46"/>
      <c r="H579" s="46"/>
      <c r="I579" s="46"/>
      <c r="J579" s="46"/>
      <c r="K579" s="46"/>
      <c r="L579" s="46"/>
      <c r="M579" s="46"/>
    </row>
    <row r="580" spans="1:13" s="59" customFormat="1" ht="11.25" hidden="1">
      <c r="A580" s="57"/>
      <c r="B580" s="57"/>
      <c r="C580" s="57"/>
      <c r="D580" s="57"/>
      <c r="E580" s="57"/>
      <c r="F580" s="58" t="s">
        <v>7</v>
      </c>
    </row>
    <row r="581" spans="1:13" ht="15.75" hidden="1" customHeight="1">
      <c r="A581" s="203" t="s">
        <v>10</v>
      </c>
      <c r="B581" s="204"/>
      <c r="C581" s="171" t="s">
        <v>11</v>
      </c>
      <c r="D581" s="171"/>
      <c r="E581" s="171"/>
      <c r="F581" s="171"/>
      <c r="H581" s="123"/>
    </row>
    <row r="582" spans="1:13" ht="17.25" hidden="1" customHeight="1">
      <c r="A582" s="41" t="s">
        <v>12</v>
      </c>
      <c r="B582" s="73">
        <v>-184517</v>
      </c>
      <c r="C582" s="183" t="s">
        <v>27</v>
      </c>
      <c r="D582" s="184"/>
      <c r="E582" s="185"/>
      <c r="F582" s="237">
        <f>E262</f>
        <v>-295499.03334000002</v>
      </c>
      <c r="G582" s="5">
        <v>4811967.92</v>
      </c>
      <c r="H582" s="124">
        <v>-184516.86176999999</v>
      </c>
      <c r="I582" s="5">
        <v>-184516.9</v>
      </c>
      <c r="M582" s="43"/>
    </row>
    <row r="583" spans="1:13" ht="15.75" hidden="1" customHeight="1">
      <c r="A583" s="42" t="s">
        <v>13</v>
      </c>
      <c r="B583" s="73">
        <v>11005.1</v>
      </c>
      <c r="C583" s="186"/>
      <c r="D583" s="187"/>
      <c r="E583" s="188"/>
      <c r="F583" s="238"/>
      <c r="H583" s="124">
        <v>11005.039430000001</v>
      </c>
      <c r="I583" s="5">
        <v>11005</v>
      </c>
    </row>
    <row r="584" spans="1:13" ht="16.5" hidden="1" customHeight="1">
      <c r="A584" s="41" t="s">
        <v>28</v>
      </c>
      <c r="B584" s="73">
        <v>-121987.2</v>
      </c>
      <c r="C584" s="186"/>
      <c r="D584" s="187"/>
      <c r="E584" s="188"/>
      <c r="F584" s="238"/>
      <c r="H584" s="123">
        <f>-121987.2-0.011</f>
        <v>-121987.211</v>
      </c>
      <c r="I584" s="5">
        <v>-121987.2</v>
      </c>
    </row>
    <row r="585" spans="1:13" ht="16.5" hidden="1" customHeight="1">
      <c r="A585" s="80" t="s">
        <v>194</v>
      </c>
      <c r="B585" s="140">
        <v>187841</v>
      </c>
      <c r="C585" s="189"/>
      <c r="D585" s="190"/>
      <c r="E585" s="191"/>
      <c r="F585" s="239"/>
      <c r="H585" s="123">
        <v>187841</v>
      </c>
    </row>
    <row r="586" spans="1:13" ht="33.75" hidden="1" customHeight="1">
      <c r="A586" s="172" t="s">
        <v>122</v>
      </c>
      <c r="B586" s="246">
        <v>-3012.9</v>
      </c>
      <c r="C586" s="179" t="s">
        <v>378</v>
      </c>
      <c r="D586" s="180"/>
      <c r="E586" s="181"/>
      <c r="F586" s="118">
        <f>88.4+88.1</f>
        <v>176.5</v>
      </c>
      <c r="G586" s="117"/>
      <c r="H586" s="125">
        <v>-3012.9</v>
      </c>
    </row>
    <row r="587" spans="1:13" ht="31.5" hidden="1" customHeight="1">
      <c r="A587" s="173"/>
      <c r="B587" s="247"/>
      <c r="C587" s="179" t="s">
        <v>426</v>
      </c>
      <c r="D587" s="180"/>
      <c r="E587" s="181"/>
      <c r="F587" s="118">
        <f>100+5+15+30</f>
        <v>150</v>
      </c>
      <c r="G587" s="117"/>
      <c r="H587" s="43"/>
    </row>
    <row r="588" spans="1:13" ht="16.5" hidden="1" customHeight="1">
      <c r="A588" s="173"/>
      <c r="B588" s="247"/>
      <c r="C588" s="179" t="s">
        <v>607</v>
      </c>
      <c r="D588" s="180"/>
      <c r="E588" s="181"/>
      <c r="F588" s="118">
        <v>50</v>
      </c>
      <c r="G588" s="43"/>
      <c r="H588" s="43"/>
    </row>
    <row r="589" spans="1:13" ht="79.5" hidden="1" customHeight="1">
      <c r="A589" s="173"/>
      <c r="B589" s="247"/>
      <c r="C589" s="179" t="s">
        <v>619</v>
      </c>
      <c r="D589" s="180"/>
      <c r="E589" s="181"/>
      <c r="F589" s="118">
        <v>-1720.8</v>
      </c>
      <c r="G589" s="43"/>
      <c r="H589" s="43"/>
    </row>
    <row r="590" spans="1:13" ht="30.75" hidden="1" customHeight="1">
      <c r="A590" s="173"/>
      <c r="B590" s="247"/>
      <c r="C590" s="179" t="s">
        <v>618</v>
      </c>
      <c r="D590" s="180"/>
      <c r="E590" s="181"/>
      <c r="F590" s="118">
        <v>-2000</v>
      </c>
      <c r="G590" s="43"/>
      <c r="H590" s="43"/>
    </row>
    <row r="591" spans="1:13" ht="17.25" hidden="1" customHeight="1">
      <c r="A591" s="195"/>
      <c r="B591" s="248"/>
      <c r="C591" s="179" t="s">
        <v>425</v>
      </c>
      <c r="D591" s="180"/>
      <c r="E591" s="181"/>
      <c r="F591" s="118">
        <f>-97.3+5</f>
        <v>-92.3</v>
      </c>
      <c r="G591" s="43"/>
      <c r="H591" s="43"/>
    </row>
    <row r="592" spans="1:13" ht="17.25" hidden="1" customHeight="1">
      <c r="A592" s="243" t="s">
        <v>234</v>
      </c>
      <c r="B592" s="246">
        <v>-82865.978350000005</v>
      </c>
      <c r="C592" s="179" t="s">
        <v>608</v>
      </c>
      <c r="D592" s="180"/>
      <c r="E592" s="181"/>
      <c r="F592" s="118">
        <f>-26.2+50</f>
        <v>23.8</v>
      </c>
      <c r="G592" s="117"/>
      <c r="H592" s="43"/>
    </row>
    <row r="593" spans="1:9" ht="20.25" hidden="1" customHeight="1">
      <c r="A593" s="244"/>
      <c r="B593" s="247"/>
      <c r="C593" s="179" t="s">
        <v>610</v>
      </c>
      <c r="D593" s="180"/>
      <c r="E593" s="181"/>
      <c r="F593" s="119">
        <v>149.5</v>
      </c>
      <c r="G593" s="43"/>
      <c r="H593" s="43"/>
    </row>
    <row r="594" spans="1:9" ht="20.25" hidden="1" customHeight="1">
      <c r="A594" s="244"/>
      <c r="B594" s="247"/>
      <c r="C594" s="179" t="s">
        <v>611</v>
      </c>
      <c r="D594" s="180"/>
      <c r="E594" s="181"/>
      <c r="F594" s="119">
        <v>-494.4</v>
      </c>
      <c r="G594" s="43"/>
      <c r="H594" s="43"/>
    </row>
    <row r="595" spans="1:9" ht="20.25" hidden="1" customHeight="1">
      <c r="A595" s="244"/>
      <c r="B595" s="247"/>
      <c r="C595" s="179" t="s">
        <v>612</v>
      </c>
      <c r="D595" s="180"/>
      <c r="E595" s="181"/>
      <c r="F595" s="119">
        <v>-253.7</v>
      </c>
      <c r="G595" s="43"/>
      <c r="H595" s="43"/>
    </row>
    <row r="596" spans="1:9" ht="20.25" hidden="1" customHeight="1">
      <c r="A596" s="244"/>
      <c r="B596" s="247"/>
      <c r="C596" s="179" t="s">
        <v>613</v>
      </c>
      <c r="D596" s="180"/>
      <c r="E596" s="181"/>
      <c r="F596" s="119">
        <v>-24.4</v>
      </c>
      <c r="G596" s="43"/>
      <c r="H596" s="43"/>
    </row>
    <row r="597" spans="1:9" ht="20.25" hidden="1" customHeight="1">
      <c r="A597" s="244"/>
      <c r="B597" s="247"/>
      <c r="C597" s="179" t="s">
        <v>614</v>
      </c>
      <c r="D597" s="180"/>
      <c r="E597" s="181"/>
      <c r="F597" s="118">
        <f>-3.89671-2.64</f>
        <v>-6.5367100000000002</v>
      </c>
      <c r="G597" s="43"/>
      <c r="H597" s="43"/>
    </row>
    <row r="598" spans="1:9" ht="20.25" hidden="1" customHeight="1">
      <c r="A598" s="244"/>
      <c r="B598" s="247"/>
      <c r="C598" s="179" t="s">
        <v>615</v>
      </c>
      <c r="D598" s="180"/>
      <c r="E598" s="181"/>
      <c r="F598" s="118">
        <v>-31.3</v>
      </c>
      <c r="G598" s="43"/>
      <c r="H598" s="43"/>
    </row>
    <row r="599" spans="1:9" ht="20.25" hidden="1" customHeight="1">
      <c r="A599" s="244"/>
      <c r="B599" s="247"/>
      <c r="C599" s="179" t="s">
        <v>616</v>
      </c>
      <c r="D599" s="180"/>
      <c r="E599" s="181"/>
      <c r="F599" s="118">
        <v>-547.10829999999999</v>
      </c>
      <c r="G599" s="43"/>
      <c r="H599" s="43"/>
    </row>
    <row r="600" spans="1:9" ht="15.75" hidden="1" customHeight="1">
      <c r="A600" s="244"/>
      <c r="B600" s="247"/>
      <c r="C600" s="179" t="s">
        <v>617</v>
      </c>
      <c r="D600" s="180"/>
      <c r="E600" s="181"/>
      <c r="F600" s="118">
        <v>-5.0999999999999996</v>
      </c>
      <c r="G600" s="43"/>
      <c r="H600" s="43"/>
    </row>
    <row r="601" spans="1:9" ht="14.25" hidden="1" customHeight="1">
      <c r="A601" s="244"/>
      <c r="B601" s="247"/>
      <c r="C601" s="179" t="s">
        <v>686</v>
      </c>
      <c r="D601" s="180"/>
      <c r="E601" s="181"/>
      <c r="F601" s="118">
        <v>-0.1</v>
      </c>
      <c r="G601" s="43"/>
      <c r="H601" s="43"/>
    </row>
    <row r="602" spans="1:9" ht="28.5" hidden="1" customHeight="1">
      <c r="A602" s="244"/>
      <c r="B602" s="247"/>
      <c r="C602" s="179" t="s">
        <v>643</v>
      </c>
      <c r="D602" s="180"/>
      <c r="E602" s="181"/>
      <c r="F602" s="118">
        <v>-113.6</v>
      </c>
      <c r="G602" s="43"/>
      <c r="H602" s="43"/>
    </row>
    <row r="603" spans="1:9" ht="28.5" hidden="1" customHeight="1">
      <c r="A603" s="244"/>
      <c r="B603" s="247"/>
      <c r="C603" s="179" t="s">
        <v>652</v>
      </c>
      <c r="D603" s="180"/>
      <c r="E603" s="181"/>
      <c r="F603" s="118">
        <v>-86</v>
      </c>
      <c r="G603" s="43"/>
      <c r="H603" s="43"/>
      <c r="I603" s="240">
        <f>-44933.6+145145.05499-18720.3+1122.8</f>
        <v>82613.954989999998</v>
      </c>
    </row>
    <row r="604" spans="1:9" ht="15.75" hidden="1" customHeight="1">
      <c r="A604" s="244"/>
      <c r="B604" s="247"/>
      <c r="C604" s="179" t="s">
        <v>655</v>
      </c>
      <c r="D604" s="180"/>
      <c r="E604" s="181"/>
      <c r="F604" s="118">
        <v>-3.8</v>
      </c>
      <c r="G604" s="43"/>
      <c r="H604" s="43"/>
      <c r="I604" s="241"/>
    </row>
    <row r="605" spans="1:9" ht="15.75" hidden="1" customHeight="1">
      <c r="A605" s="244"/>
      <c r="B605" s="247"/>
      <c r="C605" s="179" t="s">
        <v>656</v>
      </c>
      <c r="D605" s="180"/>
      <c r="E605" s="181"/>
      <c r="F605" s="118">
        <v>-3.9</v>
      </c>
      <c r="G605" s="43"/>
      <c r="H605" s="43"/>
      <c r="I605" s="241"/>
    </row>
    <row r="606" spans="1:9" ht="15.75" hidden="1" customHeight="1">
      <c r="A606" s="244"/>
      <c r="B606" s="247"/>
      <c r="C606" s="179" t="s">
        <v>654</v>
      </c>
      <c r="D606" s="180"/>
      <c r="E606" s="181"/>
      <c r="F606" s="118">
        <v>-12.1</v>
      </c>
      <c r="G606" s="43"/>
      <c r="H606" s="43"/>
      <c r="I606" s="241"/>
    </row>
    <row r="607" spans="1:9" ht="15.75" hidden="1" customHeight="1">
      <c r="A607" s="244"/>
      <c r="B607" s="247"/>
      <c r="C607" s="179" t="s">
        <v>653</v>
      </c>
      <c r="D607" s="180"/>
      <c r="E607" s="181"/>
      <c r="F607" s="118">
        <v>-101.6</v>
      </c>
      <c r="G607" s="43"/>
      <c r="H607" s="43"/>
      <c r="I607" s="241"/>
    </row>
    <row r="608" spans="1:9" ht="15.75" hidden="1" customHeight="1">
      <c r="A608" s="244"/>
      <c r="B608" s="247"/>
      <c r="C608" s="179" t="s">
        <v>645</v>
      </c>
      <c r="D608" s="180"/>
      <c r="E608" s="181"/>
      <c r="F608" s="118">
        <v>-55.3</v>
      </c>
      <c r="G608" s="43">
        <v>-1565.6</v>
      </c>
      <c r="H608" s="43"/>
      <c r="I608" s="241"/>
    </row>
    <row r="609" spans="1:12" ht="78" hidden="1" customHeight="1">
      <c r="A609" s="244"/>
      <c r="B609" s="247"/>
      <c r="C609" s="253" t="s">
        <v>609</v>
      </c>
      <c r="D609" s="254"/>
      <c r="E609" s="255"/>
      <c r="F609" s="118">
        <v>13081</v>
      </c>
      <c r="G609" s="43"/>
      <c r="H609" s="43"/>
      <c r="I609" s="241"/>
    </row>
    <row r="610" spans="1:12" ht="17.25" hidden="1" customHeight="1">
      <c r="A610" s="244"/>
      <c r="B610" s="247"/>
      <c r="C610" s="256" t="s">
        <v>498</v>
      </c>
      <c r="D610" s="257"/>
      <c r="E610" s="258"/>
      <c r="F610" s="120">
        <f>100000-6116.7</f>
        <v>93883.3</v>
      </c>
      <c r="G610" s="43"/>
      <c r="H610" s="43"/>
      <c r="I610" s="241"/>
    </row>
    <row r="611" spans="1:12" ht="17.25" hidden="1" customHeight="1">
      <c r="A611" s="244"/>
      <c r="B611" s="247"/>
      <c r="C611" s="249"/>
      <c r="D611" s="250"/>
      <c r="E611" s="251"/>
      <c r="F611" s="85"/>
      <c r="I611" s="241"/>
    </row>
    <row r="612" spans="1:12" ht="17.25" hidden="1" customHeight="1">
      <c r="A612" s="244"/>
      <c r="B612" s="247"/>
      <c r="C612" s="249"/>
      <c r="D612" s="250"/>
      <c r="E612" s="251"/>
      <c r="F612" s="85"/>
      <c r="I612" s="241"/>
    </row>
    <row r="613" spans="1:12" ht="17.25" hidden="1" customHeight="1">
      <c r="A613" s="244"/>
      <c r="B613" s="247"/>
      <c r="C613" s="249"/>
      <c r="D613" s="250"/>
      <c r="E613" s="251"/>
      <c r="F613" s="85"/>
      <c r="I613" s="241"/>
    </row>
    <row r="614" spans="1:12" ht="17.25" hidden="1" customHeight="1">
      <c r="A614" s="244"/>
      <c r="B614" s="247"/>
      <c r="C614" s="249"/>
      <c r="D614" s="250"/>
      <c r="E614" s="251"/>
      <c r="F614" s="85"/>
      <c r="I614" s="241"/>
    </row>
    <row r="615" spans="1:12" ht="17.25" hidden="1" customHeight="1">
      <c r="A615" s="244"/>
      <c r="B615" s="247"/>
      <c r="C615" s="249"/>
      <c r="D615" s="250"/>
      <c r="E615" s="251"/>
      <c r="F615" s="85"/>
      <c r="I615" s="241"/>
    </row>
    <row r="616" spans="1:12" ht="17.25" hidden="1" customHeight="1">
      <c r="A616" s="244"/>
      <c r="B616" s="247"/>
      <c r="C616" s="143"/>
      <c r="D616" s="144"/>
      <c r="E616" s="145"/>
      <c r="F616" s="85"/>
      <c r="I616" s="241"/>
    </row>
    <row r="617" spans="1:12" ht="17.25" hidden="1" customHeight="1">
      <c r="A617" s="244"/>
      <c r="B617" s="247"/>
      <c r="C617" s="143"/>
      <c r="D617" s="144"/>
      <c r="E617" s="145"/>
      <c r="F617" s="85"/>
      <c r="I617" s="241"/>
    </row>
    <row r="618" spans="1:12" ht="30.75" hidden="1" customHeight="1">
      <c r="A618" s="245"/>
      <c r="B618" s="248"/>
      <c r="C618" s="179"/>
      <c r="D618" s="180"/>
      <c r="E618" s="181"/>
      <c r="F618" s="73"/>
      <c r="I618" s="241"/>
    </row>
    <row r="619" spans="1:12" ht="14.25" hidden="1" customHeight="1">
      <c r="A619" s="18" t="s">
        <v>9</v>
      </c>
      <c r="B619" s="78">
        <f>SUM(B582:B618)</f>
        <v>-193536.97834999999</v>
      </c>
      <c r="C619" s="176" t="s">
        <v>9</v>
      </c>
      <c r="D619" s="176"/>
      <c r="E619" s="176"/>
      <c r="F619" s="79">
        <f>SUM(F582:F618)</f>
        <v>-193536.97834999999</v>
      </c>
      <c r="I619" s="241"/>
      <c r="L619" s="43"/>
    </row>
    <row r="620" spans="1:12" ht="16.5" hidden="1" customHeight="1">
      <c r="A620" s="138"/>
      <c r="B620" s="21"/>
      <c r="C620" s="138"/>
      <c r="D620" s="138"/>
      <c r="E620" s="138"/>
      <c r="F620" s="122">
        <f>F619-B619</f>
        <v>0</v>
      </c>
      <c r="G620" s="43">
        <f>G582+F619</f>
        <v>4618430.9416499995</v>
      </c>
      <c r="I620" s="241"/>
    </row>
    <row r="621" spans="1:12" ht="14.25" hidden="1" customHeight="1">
      <c r="G621" s="43">
        <f>4618807.14165-113.6-55.3-86-3.9-3.8-12.1-101.6+0.048+0.052</f>
        <v>4618430.9416500013</v>
      </c>
      <c r="I621" s="241"/>
    </row>
    <row r="622" spans="1:12" ht="14.25" hidden="1" customHeight="1">
      <c r="A622" s="2"/>
      <c r="B622" s="3"/>
      <c r="C622" s="3"/>
      <c r="D622" s="4"/>
      <c r="E622" s="1"/>
      <c r="F622" s="4"/>
      <c r="G622" s="108">
        <f>G621-G620</f>
        <v>0</v>
      </c>
      <c r="I622" s="241"/>
    </row>
    <row r="623" spans="1:12" ht="14.25" customHeight="1">
      <c r="B623" s="16"/>
      <c r="I623" s="241"/>
    </row>
    <row r="624" spans="1:12" ht="15.75" hidden="1">
      <c r="A624" s="177" t="s">
        <v>84</v>
      </c>
      <c r="B624" s="177"/>
      <c r="C624" s="177"/>
      <c r="D624" s="177"/>
      <c r="E624" s="178" t="s">
        <v>85</v>
      </c>
      <c r="F624" s="178"/>
      <c r="I624" s="241"/>
    </row>
    <row r="625" spans="9:9">
      <c r="I625" s="241"/>
    </row>
    <row r="626" spans="9:9">
      <c r="I626" s="241"/>
    </row>
    <row r="627" spans="9:9">
      <c r="I627" s="241"/>
    </row>
    <row r="628" spans="9:9">
      <c r="I628" s="241"/>
    </row>
    <row r="629" spans="9:9">
      <c r="I629" s="242"/>
    </row>
  </sheetData>
  <mergeCells count="326">
    <mergeCell ref="A265:F265"/>
    <mergeCell ref="A266:F266"/>
    <mergeCell ref="A267:F267"/>
    <mergeCell ref="C609:E609"/>
    <mergeCell ref="C610:E610"/>
    <mergeCell ref="C611:E611"/>
    <mergeCell ref="C612:E612"/>
    <mergeCell ref="C613:E613"/>
    <mergeCell ref="C614:E614"/>
    <mergeCell ref="C600:E600"/>
    <mergeCell ref="C601:E601"/>
    <mergeCell ref="C602:E602"/>
    <mergeCell ref="C603:E603"/>
    <mergeCell ref="A586:A591"/>
    <mergeCell ref="B586:B591"/>
    <mergeCell ref="C586:E586"/>
    <mergeCell ref="C587:E587"/>
    <mergeCell ref="C588:E588"/>
    <mergeCell ref="C589:E589"/>
    <mergeCell ref="C590:E590"/>
    <mergeCell ref="C591:E591"/>
    <mergeCell ref="B576:C576"/>
    <mergeCell ref="A578:F578"/>
    <mergeCell ref="A579:F579"/>
    <mergeCell ref="I603:I629"/>
    <mergeCell ref="C604:E604"/>
    <mergeCell ref="C605:E605"/>
    <mergeCell ref="C606:E606"/>
    <mergeCell ref="C607:E607"/>
    <mergeCell ref="C608:E608"/>
    <mergeCell ref="A592:A618"/>
    <mergeCell ref="B592:B618"/>
    <mergeCell ref="C592:E592"/>
    <mergeCell ref="C593:E593"/>
    <mergeCell ref="C594:E594"/>
    <mergeCell ref="C595:E595"/>
    <mergeCell ref="C596:E596"/>
    <mergeCell ref="C597:E597"/>
    <mergeCell ref="C598:E598"/>
    <mergeCell ref="C599:E599"/>
    <mergeCell ref="C615:E615"/>
    <mergeCell ref="C618:E618"/>
    <mergeCell ref="C619:E619"/>
    <mergeCell ref="A624:D624"/>
    <mergeCell ref="E624:F624"/>
    <mergeCell ref="A581:B581"/>
    <mergeCell ref="C581:F581"/>
    <mergeCell ref="C582:E585"/>
    <mergeCell ref="F582:F585"/>
    <mergeCell ref="A548:A575"/>
    <mergeCell ref="B552:C552"/>
    <mergeCell ref="B553:C553"/>
    <mergeCell ref="B554:C554"/>
    <mergeCell ref="B570:C570"/>
    <mergeCell ref="B573:C573"/>
    <mergeCell ref="B528:C528"/>
    <mergeCell ref="A529:A544"/>
    <mergeCell ref="B536:C536"/>
    <mergeCell ref="B537:C537"/>
    <mergeCell ref="A545:A547"/>
    <mergeCell ref="B545:C545"/>
    <mergeCell ref="B547:C547"/>
    <mergeCell ref="A517:A528"/>
    <mergeCell ref="B517:C517"/>
    <mergeCell ref="B518:C518"/>
    <mergeCell ref="B520:C520"/>
    <mergeCell ref="B521:C521"/>
    <mergeCell ref="B522:C522"/>
    <mergeCell ref="B524:C524"/>
    <mergeCell ref="B525:C525"/>
    <mergeCell ref="B526:C526"/>
    <mergeCell ref="B527:C527"/>
    <mergeCell ref="A480:A481"/>
    <mergeCell ref="A482:A485"/>
    <mergeCell ref="A486:A516"/>
    <mergeCell ref="B510:C510"/>
    <mergeCell ref="B511:C511"/>
    <mergeCell ref="B512:C512"/>
    <mergeCell ref="A458:A465"/>
    <mergeCell ref="A466:A479"/>
    <mergeCell ref="B468:C468"/>
    <mergeCell ref="B469:C469"/>
    <mergeCell ref="B470:C470"/>
    <mergeCell ref="B476:C476"/>
    <mergeCell ref="B477:C477"/>
    <mergeCell ref="B478:C478"/>
    <mergeCell ref="B479:C479"/>
    <mergeCell ref="A402:F402"/>
    <mergeCell ref="A403:F403"/>
    <mergeCell ref="A404:F404"/>
    <mergeCell ref="A406:F406"/>
    <mergeCell ref="B408:C408"/>
    <mergeCell ref="A409:A457"/>
    <mergeCell ref="B450:C450"/>
    <mergeCell ref="A393:F393"/>
    <mergeCell ref="A395:F395"/>
    <mergeCell ref="A396:F396"/>
    <mergeCell ref="A397:F397"/>
    <mergeCell ref="A398:F398"/>
    <mergeCell ref="A399:F399"/>
    <mergeCell ref="A386:F386"/>
    <mergeCell ref="A387:F387"/>
    <mergeCell ref="A388:F388"/>
    <mergeCell ref="A389:F389"/>
    <mergeCell ref="A390:F390"/>
    <mergeCell ref="A391:F391"/>
    <mergeCell ref="A380:F380"/>
    <mergeCell ref="A381:F381"/>
    <mergeCell ref="A382:F382"/>
    <mergeCell ref="A383:F383"/>
    <mergeCell ref="A384:F384"/>
    <mergeCell ref="A385:F385"/>
    <mergeCell ref="A373:F373"/>
    <mergeCell ref="A374:F374"/>
    <mergeCell ref="A375:F375"/>
    <mergeCell ref="A376:F376"/>
    <mergeCell ref="A377:F377"/>
    <mergeCell ref="A378:F378"/>
    <mergeCell ref="A366:F366"/>
    <mergeCell ref="A367:F367"/>
    <mergeCell ref="A368:F368"/>
    <mergeCell ref="A369:F369"/>
    <mergeCell ref="A371:F371"/>
    <mergeCell ref="A372:F372"/>
    <mergeCell ref="A358:F358"/>
    <mergeCell ref="A359:F359"/>
    <mergeCell ref="A361:F361"/>
    <mergeCell ref="A363:F363"/>
    <mergeCell ref="A364:F364"/>
    <mergeCell ref="A365:F365"/>
    <mergeCell ref="A348:F348"/>
    <mergeCell ref="A350:F350"/>
    <mergeCell ref="A351:F351"/>
    <mergeCell ref="A352:F352"/>
    <mergeCell ref="A354:F354"/>
    <mergeCell ref="A356:F356"/>
    <mergeCell ref="A342:F342"/>
    <mergeCell ref="A343:F343"/>
    <mergeCell ref="A344:F344"/>
    <mergeCell ref="A345:F345"/>
    <mergeCell ref="A346:F346"/>
    <mergeCell ref="A347:F347"/>
    <mergeCell ref="A336:F336"/>
    <mergeCell ref="A337:F337"/>
    <mergeCell ref="A338:F338"/>
    <mergeCell ref="A339:F339"/>
    <mergeCell ref="A340:F340"/>
    <mergeCell ref="A341:F341"/>
    <mergeCell ref="A330:F330"/>
    <mergeCell ref="A331:F331"/>
    <mergeCell ref="A332:F332"/>
    <mergeCell ref="A333:F333"/>
    <mergeCell ref="A334:F334"/>
    <mergeCell ref="A335:F335"/>
    <mergeCell ref="A322:F322"/>
    <mergeCell ref="A324:F324"/>
    <mergeCell ref="A325:F325"/>
    <mergeCell ref="A326:F326"/>
    <mergeCell ref="A327:F327"/>
    <mergeCell ref="A328:F328"/>
    <mergeCell ref="A315:F315"/>
    <mergeCell ref="A317:F317"/>
    <mergeCell ref="A318:F318"/>
    <mergeCell ref="A319:F319"/>
    <mergeCell ref="A320:F320"/>
    <mergeCell ref="A321:F321"/>
    <mergeCell ref="A309:F309"/>
    <mergeCell ref="A310:F310"/>
    <mergeCell ref="A311:F311"/>
    <mergeCell ref="A312:F312"/>
    <mergeCell ref="A313:F313"/>
    <mergeCell ref="A314:F314"/>
    <mergeCell ref="A308:F308"/>
    <mergeCell ref="A304:F304"/>
    <mergeCell ref="A305:F305"/>
    <mergeCell ref="A307:F307"/>
    <mergeCell ref="A299:F299"/>
    <mergeCell ref="A301:F301"/>
    <mergeCell ref="A302:F302"/>
    <mergeCell ref="A292:F292"/>
    <mergeCell ref="A293:F293"/>
    <mergeCell ref="A295:F295"/>
    <mergeCell ref="A296:F296"/>
    <mergeCell ref="A297:F297"/>
    <mergeCell ref="A286:F286"/>
    <mergeCell ref="A287:F287"/>
    <mergeCell ref="A288:F288"/>
    <mergeCell ref="A289:F289"/>
    <mergeCell ref="A290:F290"/>
    <mergeCell ref="A291:F291"/>
    <mergeCell ref="A280:F280"/>
    <mergeCell ref="A282:F282"/>
    <mergeCell ref="A283:F283"/>
    <mergeCell ref="A284:F284"/>
    <mergeCell ref="A274:F274"/>
    <mergeCell ref="A275:F275"/>
    <mergeCell ref="A276:F276"/>
    <mergeCell ref="A277:F277"/>
    <mergeCell ref="A278:F278"/>
    <mergeCell ref="A268:F268"/>
    <mergeCell ref="A269:F269"/>
    <mergeCell ref="A270:F270"/>
    <mergeCell ref="A271:F271"/>
    <mergeCell ref="A272:F272"/>
    <mergeCell ref="A273:F273"/>
    <mergeCell ref="A260:A261"/>
    <mergeCell ref="B262:C262"/>
    <mergeCell ref="A264:F264"/>
    <mergeCell ref="A211:A259"/>
    <mergeCell ref="B211:C211"/>
    <mergeCell ref="B212:C212"/>
    <mergeCell ref="B213:C213"/>
    <mergeCell ref="B252:C252"/>
    <mergeCell ref="B253:C253"/>
    <mergeCell ref="B167:C167"/>
    <mergeCell ref="B168:C168"/>
    <mergeCell ref="B170:C170"/>
    <mergeCell ref="B182:C182"/>
    <mergeCell ref="A183:A206"/>
    <mergeCell ref="A207:A210"/>
    <mergeCell ref="A152:F152"/>
    <mergeCell ref="A153:F153"/>
    <mergeCell ref="B155:C155"/>
    <mergeCell ref="A156:A181"/>
    <mergeCell ref="B161:C161"/>
    <mergeCell ref="B162:C162"/>
    <mergeCell ref="B163:C163"/>
    <mergeCell ref="B164:C164"/>
    <mergeCell ref="B165:C165"/>
    <mergeCell ref="B166:C166"/>
    <mergeCell ref="A146:F146"/>
    <mergeCell ref="A147:F147"/>
    <mergeCell ref="A148:F148"/>
    <mergeCell ref="A149:F149"/>
    <mergeCell ref="A150:F150"/>
    <mergeCell ref="A151:F151"/>
    <mergeCell ref="A140:F140"/>
    <mergeCell ref="A141:F141"/>
    <mergeCell ref="A142:F142"/>
    <mergeCell ref="A143:F143"/>
    <mergeCell ref="A144:F144"/>
    <mergeCell ref="A145:F145"/>
    <mergeCell ref="A134:F134"/>
    <mergeCell ref="A135:F135"/>
    <mergeCell ref="A136:F136"/>
    <mergeCell ref="A137:F137"/>
    <mergeCell ref="A138:F138"/>
    <mergeCell ref="A139:F139"/>
    <mergeCell ref="A128:F128"/>
    <mergeCell ref="A129:F129"/>
    <mergeCell ref="A130:F130"/>
    <mergeCell ref="A131:F131"/>
    <mergeCell ref="A132:F132"/>
    <mergeCell ref="A133:F133"/>
    <mergeCell ref="A122:F122"/>
    <mergeCell ref="A123:F123"/>
    <mergeCell ref="A124:F124"/>
    <mergeCell ref="A125:F125"/>
    <mergeCell ref="A126:F126"/>
    <mergeCell ref="A127:F127"/>
    <mergeCell ref="A116:F116"/>
    <mergeCell ref="A117:F117"/>
    <mergeCell ref="A118:F118"/>
    <mergeCell ref="A119:F119"/>
    <mergeCell ref="A120:F120"/>
    <mergeCell ref="A121:F121"/>
    <mergeCell ref="A110:F110"/>
    <mergeCell ref="A111:F111"/>
    <mergeCell ref="A112:F112"/>
    <mergeCell ref="A113:F113"/>
    <mergeCell ref="A114:F114"/>
    <mergeCell ref="A115:F115"/>
    <mergeCell ref="A104:F104"/>
    <mergeCell ref="A105:F105"/>
    <mergeCell ref="A106:F106"/>
    <mergeCell ref="A107:F107"/>
    <mergeCell ref="A108:F108"/>
    <mergeCell ref="A109:F109"/>
    <mergeCell ref="A98:F98"/>
    <mergeCell ref="A99:F99"/>
    <mergeCell ref="A100:F100"/>
    <mergeCell ref="A101:F101"/>
    <mergeCell ref="A102:F102"/>
    <mergeCell ref="A103:F103"/>
    <mergeCell ref="A92:F92"/>
    <mergeCell ref="A93:F93"/>
    <mergeCell ref="A94:F94"/>
    <mergeCell ref="A95:F95"/>
    <mergeCell ref="A96:F96"/>
    <mergeCell ref="A97:F97"/>
    <mergeCell ref="A86:F86"/>
    <mergeCell ref="A87:F87"/>
    <mergeCell ref="A88:F88"/>
    <mergeCell ref="A89:F89"/>
    <mergeCell ref="A90:F90"/>
    <mergeCell ref="A91:F91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68:F68"/>
    <mergeCell ref="A69:F69"/>
    <mergeCell ref="A70:F70"/>
    <mergeCell ref="A71:F71"/>
    <mergeCell ref="A72:F72"/>
    <mergeCell ref="A73:F73"/>
    <mergeCell ref="A7:F7"/>
    <mergeCell ref="A8:F8"/>
    <mergeCell ref="A10:F10"/>
    <mergeCell ref="A65:F65"/>
    <mergeCell ref="A66:F66"/>
    <mergeCell ref="A67:F67"/>
    <mergeCell ref="A1:F1"/>
    <mergeCell ref="A2:F2"/>
    <mergeCell ref="A3:F3"/>
    <mergeCell ref="A4:F4"/>
    <mergeCell ref="A5:F5"/>
    <mergeCell ref="A6:F6"/>
  </mergeCells>
  <pageMargins left="0.70866141732283472" right="0.70866141732283472" top="0.55000000000000004" bottom="0.48" header="0.31496062992125984" footer="0.31496062992125984"/>
  <pageSetup paperSize="9" scale="73" fitToHeight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август</vt:lpstr>
      <vt:lpstr>для сайта (окончательно)</vt:lpstr>
      <vt:lpstr>август!Область_печати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Elena Kataeva</cp:lastModifiedBy>
  <cp:lastPrinted>2017-01-12T08:14:42Z</cp:lastPrinted>
  <dcterms:created xsi:type="dcterms:W3CDTF">2009-01-26T06:44:36Z</dcterms:created>
  <dcterms:modified xsi:type="dcterms:W3CDTF">2017-01-12T08:39:22Z</dcterms:modified>
</cp:coreProperties>
</file>