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7 год\документы к проекту бюджета на 2017-2019гг. для СНД и КСП\"/>
    </mc:Choice>
  </mc:AlternateContent>
  <bookViews>
    <workbookView xWindow="13125" yWindow="3045" windowWidth="15480" windowHeight="3690" activeTab="2"/>
  </bookViews>
  <sheets>
    <sheet name="Лист1" sheetId="4" r:id="rId1"/>
    <sheet name="Лист2" sheetId="5" r:id="rId2"/>
    <sheet name="пр.5" sheetId="7" r:id="rId3"/>
  </sheets>
  <externalReferences>
    <externalReference r:id="rId4"/>
  </externalReferences>
  <definedNames>
    <definedName name="_xlnm._FilterDatabase" localSheetId="0" hidden="1">Лист1!$A$8:$O$540</definedName>
    <definedName name="_xlnm._FilterDatabase" localSheetId="1" hidden="1">Лист2!$A$2:$O$31</definedName>
    <definedName name="_xlnm._FilterDatabase" localSheetId="2" hidden="1">пр.5!$A$8:$O$458</definedName>
    <definedName name="_xlnm.Print_Titles" localSheetId="0">Лист1!$8:$8</definedName>
    <definedName name="_xlnm.Print_Titles" localSheetId="2">пр.5!$8:$8</definedName>
    <definedName name="_xlnm.Print_Area" localSheetId="0">Лист1!$A$1:$H$540</definedName>
    <definedName name="_xlnm.Print_Area" localSheetId="1">Лист2!$A$1:$H$33</definedName>
    <definedName name="_xlnm.Print_Area" localSheetId="2">пр.5!$A$1:$H$458</definedName>
  </definedNames>
  <calcPr calcId="152511"/>
  <customWorkbookViews>
    <customWorkbookView name="Татьяна - Личное представление" guid="{39DFD954-E818-44E9-9549-C794F1423164}" mergeInterval="0" personalView="1" maximized="1" windowWidth="1276" windowHeight="852" activeSheetId="1"/>
    <customWorkbookView name="1 - Личное представление" guid="{A175164D-EEF6-45D9-AB98-D99F028604DF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393" i="7" l="1"/>
  <c r="H393" i="7"/>
  <c r="F393" i="7"/>
  <c r="G387" i="7"/>
  <c r="H387" i="7"/>
  <c r="F387" i="7"/>
  <c r="G353" i="7"/>
  <c r="H353" i="7"/>
  <c r="F353" i="7"/>
  <c r="G347" i="7"/>
  <c r="H347" i="7"/>
  <c r="F347" i="7"/>
  <c r="G337" i="7"/>
  <c r="H337" i="7"/>
  <c r="F337" i="7"/>
  <c r="G334" i="7"/>
  <c r="H334" i="7"/>
  <c r="F334" i="7"/>
  <c r="G331" i="7"/>
  <c r="H331" i="7"/>
  <c r="F331" i="7"/>
  <c r="G245" i="7"/>
  <c r="H245" i="7"/>
  <c r="F245" i="7"/>
  <c r="G202" i="7"/>
  <c r="H202" i="7"/>
  <c r="F202" i="7"/>
  <c r="H455" i="7"/>
  <c r="G455" i="7"/>
  <c r="F455" i="7"/>
  <c r="H453" i="7"/>
  <c r="G453" i="7"/>
  <c r="G452" i="7" s="1"/>
  <c r="G451" i="7" s="1"/>
  <c r="G450" i="7" s="1"/>
  <c r="H452" i="7"/>
  <c r="H451" i="7" s="1"/>
  <c r="H450" i="7" s="1"/>
  <c r="H448" i="7"/>
  <c r="H447" i="7" s="1"/>
  <c r="H446" i="7" s="1"/>
  <c r="G448" i="7"/>
  <c r="G447" i="7" s="1"/>
  <c r="G446" i="7" s="1"/>
  <c r="F448" i="7"/>
  <c r="F447" i="7" s="1"/>
  <c r="F446" i="7" s="1"/>
  <c r="H443" i="7"/>
  <c r="H442" i="7" s="1"/>
  <c r="G443" i="7"/>
  <c r="G442" i="7" s="1"/>
  <c r="F443" i="7"/>
  <c r="F442" i="7" s="1"/>
  <c r="H440" i="7"/>
  <c r="H439" i="7" s="1"/>
  <c r="G440" i="7"/>
  <c r="G439" i="7" s="1"/>
  <c r="F440" i="7"/>
  <c r="F439" i="7" s="1"/>
  <c r="H437" i="7"/>
  <c r="G437" i="7"/>
  <c r="F437" i="7"/>
  <c r="H434" i="7"/>
  <c r="G434" i="7"/>
  <c r="F434" i="7"/>
  <c r="H432" i="7"/>
  <c r="G432" i="7"/>
  <c r="F432" i="7"/>
  <c r="H427" i="7"/>
  <c r="G427" i="7"/>
  <c r="F427" i="7"/>
  <c r="H426" i="7"/>
  <c r="G426" i="7"/>
  <c r="F426" i="7"/>
  <c r="H425" i="7"/>
  <c r="G425" i="7"/>
  <c r="F425" i="7"/>
  <c r="H424" i="7"/>
  <c r="H423" i="7" s="1"/>
  <c r="G424" i="7"/>
  <c r="F424" i="7"/>
  <c r="H422" i="7"/>
  <c r="H421" i="7" s="1"/>
  <c r="G422" i="7"/>
  <c r="F422" i="7"/>
  <c r="F421" i="7" s="1"/>
  <c r="G421" i="7"/>
  <c r="H420" i="7"/>
  <c r="G420" i="7"/>
  <c r="G419" i="7" s="1"/>
  <c r="F420" i="7"/>
  <c r="F419" i="7" s="1"/>
  <c r="H419" i="7"/>
  <c r="H418" i="7"/>
  <c r="H416" i="7" s="1"/>
  <c r="G418" i="7"/>
  <c r="G416" i="7" s="1"/>
  <c r="F418" i="7"/>
  <c r="F416" i="7" s="1"/>
  <c r="H414" i="7"/>
  <c r="G414" i="7"/>
  <c r="F414" i="7"/>
  <c r="H410" i="7"/>
  <c r="G410" i="7"/>
  <c r="F410" i="7"/>
  <c r="H407" i="7"/>
  <c r="G407" i="7"/>
  <c r="F407" i="7"/>
  <c r="H405" i="7"/>
  <c r="G405" i="7"/>
  <c r="F405" i="7"/>
  <c r="H404" i="7"/>
  <c r="H403" i="7" s="1"/>
  <c r="G404" i="7"/>
  <c r="F404" i="7"/>
  <c r="G403" i="7"/>
  <c r="H402" i="7"/>
  <c r="G402" i="7"/>
  <c r="G400" i="7" s="1"/>
  <c r="F402" i="7"/>
  <c r="H401" i="7"/>
  <c r="H400" i="7" s="1"/>
  <c r="G401" i="7"/>
  <c r="F401" i="7"/>
  <c r="H399" i="7"/>
  <c r="H397" i="7" s="1"/>
  <c r="G399" i="7"/>
  <c r="G397" i="7" s="1"/>
  <c r="F399" i="7"/>
  <c r="F397" i="7" s="1"/>
  <c r="H396" i="7"/>
  <c r="H395" i="7" s="1"/>
  <c r="G396" i="7"/>
  <c r="G395" i="7" s="1"/>
  <c r="F396" i="7"/>
  <c r="F395" i="7" s="1"/>
  <c r="H394" i="7"/>
  <c r="G394" i="7"/>
  <c r="F394" i="7"/>
  <c r="H392" i="7"/>
  <c r="G392" i="7"/>
  <c r="F392" i="7"/>
  <c r="H391" i="7"/>
  <c r="G391" i="7"/>
  <c r="F391" i="7"/>
  <c r="H390" i="7"/>
  <c r="G390" i="7"/>
  <c r="F390" i="7"/>
  <c r="F389" i="7" s="1"/>
  <c r="H388" i="7"/>
  <c r="G388" i="7"/>
  <c r="F388" i="7"/>
  <c r="H385" i="7"/>
  <c r="G385" i="7"/>
  <c r="F385" i="7"/>
  <c r="H383" i="7"/>
  <c r="G383" i="7"/>
  <c r="F383" i="7"/>
  <c r="H382" i="7"/>
  <c r="G382" i="7"/>
  <c r="F382" i="7"/>
  <c r="G381" i="7"/>
  <c r="F381" i="7"/>
  <c r="H380" i="7"/>
  <c r="G380" i="7"/>
  <c r="F380" i="7"/>
  <c r="F378" i="7" s="1"/>
  <c r="H379" i="7"/>
  <c r="H378" i="7" s="1"/>
  <c r="G379" i="7"/>
  <c r="F379" i="7"/>
  <c r="G378" i="7"/>
  <c r="H377" i="7"/>
  <c r="G377" i="7"/>
  <c r="F377" i="7"/>
  <c r="F375" i="7" s="1"/>
  <c r="H376" i="7"/>
  <c r="H375" i="7" s="1"/>
  <c r="G376" i="7"/>
  <c r="F376" i="7"/>
  <c r="H374" i="7"/>
  <c r="H372" i="7" s="1"/>
  <c r="G374" i="7"/>
  <c r="F374" i="7"/>
  <c r="H373" i="7"/>
  <c r="G373" i="7"/>
  <c r="F373" i="7"/>
  <c r="F372" i="7" s="1"/>
  <c r="H371" i="7"/>
  <c r="H369" i="7" s="1"/>
  <c r="G371" i="7"/>
  <c r="F371" i="7"/>
  <c r="H370" i="7"/>
  <c r="G370" i="7"/>
  <c r="F370" i="7"/>
  <c r="F369" i="7" s="1"/>
  <c r="H368" i="7"/>
  <c r="G368" i="7"/>
  <c r="F368" i="7"/>
  <c r="F366" i="7" s="1"/>
  <c r="H367" i="7"/>
  <c r="H366" i="7" s="1"/>
  <c r="G367" i="7"/>
  <c r="F367" i="7"/>
  <c r="G366" i="7"/>
  <c r="H365" i="7"/>
  <c r="G365" i="7"/>
  <c r="F365" i="7"/>
  <c r="H364" i="7"/>
  <c r="H363" i="7" s="1"/>
  <c r="G364" i="7"/>
  <c r="F364" i="7"/>
  <c r="H362" i="7"/>
  <c r="H361" i="7" s="1"/>
  <c r="G362" i="7"/>
  <c r="G361" i="7" s="1"/>
  <c r="F362" i="7"/>
  <c r="F361" i="7"/>
  <c r="F360" i="7"/>
  <c r="F359" i="7" s="1"/>
  <c r="H359" i="7"/>
  <c r="G359" i="7"/>
  <c r="H358" i="7"/>
  <c r="G358" i="7"/>
  <c r="G356" i="7" s="1"/>
  <c r="F358" i="7"/>
  <c r="H357" i="7"/>
  <c r="G357" i="7"/>
  <c r="F357" i="7"/>
  <c r="H355" i="7"/>
  <c r="G355" i="7"/>
  <c r="F355" i="7"/>
  <c r="H354" i="7"/>
  <c r="G354" i="7"/>
  <c r="F354" i="7"/>
  <c r="H352" i="7"/>
  <c r="G352" i="7"/>
  <c r="G350" i="7" s="1"/>
  <c r="F352" i="7"/>
  <c r="H351" i="7"/>
  <c r="G351" i="7"/>
  <c r="F351" i="7"/>
  <c r="H349" i="7"/>
  <c r="G349" i="7"/>
  <c r="F349" i="7"/>
  <c r="H348" i="7"/>
  <c r="G348" i="7"/>
  <c r="F348" i="7"/>
  <c r="H346" i="7"/>
  <c r="G346" i="7"/>
  <c r="F346" i="7"/>
  <c r="H345" i="7"/>
  <c r="G345" i="7"/>
  <c r="G343" i="7" s="1"/>
  <c r="F345" i="7"/>
  <c r="F343" i="7" s="1"/>
  <c r="H344" i="7"/>
  <c r="G344" i="7"/>
  <c r="F344" i="7"/>
  <c r="H341" i="7"/>
  <c r="H340" i="7" s="1"/>
  <c r="G341" i="7"/>
  <c r="G340" i="7" s="1"/>
  <c r="F341" i="7"/>
  <c r="F340" i="7" s="1"/>
  <c r="H339" i="7"/>
  <c r="G339" i="7"/>
  <c r="F339" i="7"/>
  <c r="H338" i="7"/>
  <c r="G338" i="7"/>
  <c r="F338" i="7"/>
  <c r="H336" i="7"/>
  <c r="G336" i="7"/>
  <c r="F336" i="7"/>
  <c r="H335" i="7"/>
  <c r="G335" i="7"/>
  <c r="F335" i="7"/>
  <c r="H333" i="7"/>
  <c r="G333" i="7"/>
  <c r="F333" i="7"/>
  <c r="H332" i="7"/>
  <c r="G332" i="7"/>
  <c r="F332" i="7"/>
  <c r="H330" i="7"/>
  <c r="G330" i="7"/>
  <c r="G328" i="7" s="1"/>
  <c r="F330" i="7"/>
  <c r="H329" i="7"/>
  <c r="G329" i="7"/>
  <c r="F329" i="7"/>
  <c r="H328" i="7"/>
  <c r="H327" i="7"/>
  <c r="G327" i="7"/>
  <c r="F327" i="7"/>
  <c r="H326" i="7"/>
  <c r="G326" i="7"/>
  <c r="F326" i="7"/>
  <c r="H324" i="7"/>
  <c r="H322" i="7" s="1"/>
  <c r="G324" i="7"/>
  <c r="F324" i="7"/>
  <c r="H323" i="7"/>
  <c r="G323" i="7"/>
  <c r="F323" i="7"/>
  <c r="F322" i="7" s="1"/>
  <c r="H321" i="7"/>
  <c r="G321" i="7"/>
  <c r="F321" i="7"/>
  <c r="F319" i="7" s="1"/>
  <c r="H320" i="7"/>
  <c r="G320" i="7"/>
  <c r="F320" i="7"/>
  <c r="H319" i="7"/>
  <c r="G319" i="7"/>
  <c r="H318" i="7"/>
  <c r="H317" i="7" s="1"/>
  <c r="G318" i="7"/>
  <c r="F318" i="7"/>
  <c r="F317" i="7" s="1"/>
  <c r="G317" i="7"/>
  <c r="H316" i="7"/>
  <c r="G316" i="7"/>
  <c r="G314" i="7" s="1"/>
  <c r="F316" i="7"/>
  <c r="H315" i="7"/>
  <c r="G315" i="7"/>
  <c r="F315" i="7"/>
  <c r="H313" i="7"/>
  <c r="G313" i="7"/>
  <c r="G312" i="7" s="1"/>
  <c r="F313" i="7"/>
  <c r="F312" i="7" s="1"/>
  <c r="H312" i="7"/>
  <c r="H311" i="7"/>
  <c r="G311" i="7"/>
  <c r="G310" i="7" s="1"/>
  <c r="F311" i="7"/>
  <c r="F310" i="7" s="1"/>
  <c r="H310" i="7"/>
  <c r="H309" i="7"/>
  <c r="H308" i="7" s="1"/>
  <c r="G309" i="7"/>
  <c r="G308" i="7" s="1"/>
  <c r="F309" i="7"/>
  <c r="F308" i="7"/>
  <c r="H307" i="7"/>
  <c r="G307" i="7"/>
  <c r="F307" i="7"/>
  <c r="H306" i="7"/>
  <c r="H305" i="7" s="1"/>
  <c r="G306" i="7"/>
  <c r="G305" i="7" s="1"/>
  <c r="F306" i="7"/>
  <c r="F305" i="7"/>
  <c r="H303" i="7"/>
  <c r="G303" i="7"/>
  <c r="F303" i="7"/>
  <c r="H301" i="7"/>
  <c r="G301" i="7"/>
  <c r="F301" i="7"/>
  <c r="H299" i="7"/>
  <c r="G299" i="7"/>
  <c r="F299" i="7"/>
  <c r="H297" i="7"/>
  <c r="G297" i="7"/>
  <c r="F297" i="7"/>
  <c r="H294" i="7"/>
  <c r="G294" i="7"/>
  <c r="F294" i="7"/>
  <c r="F293" i="7" s="1"/>
  <c r="H293" i="7"/>
  <c r="G293" i="7"/>
  <c r="H292" i="7"/>
  <c r="G292" i="7"/>
  <c r="G289" i="7" s="1"/>
  <c r="F292" i="7"/>
  <c r="H291" i="7"/>
  <c r="G291" i="7"/>
  <c r="F291" i="7"/>
  <c r="F289" i="7" s="1"/>
  <c r="H290" i="7"/>
  <c r="G290" i="7"/>
  <c r="F290" i="7"/>
  <c r="H289" i="7"/>
  <c r="H288" i="7"/>
  <c r="G288" i="7"/>
  <c r="G287" i="7" s="1"/>
  <c r="F288" i="7"/>
  <c r="H287" i="7"/>
  <c r="F287" i="7"/>
  <c r="H283" i="7"/>
  <c r="H282" i="7" s="1"/>
  <c r="G283" i="7"/>
  <c r="G282" i="7" s="1"/>
  <c r="F283" i="7"/>
  <c r="F282" i="7" s="1"/>
  <c r="H277" i="7"/>
  <c r="G277" i="7"/>
  <c r="F277" i="7"/>
  <c r="H273" i="7"/>
  <c r="G273" i="7"/>
  <c r="F273" i="7"/>
  <c r="H271" i="7"/>
  <c r="G271" i="7"/>
  <c r="G269" i="7" s="1"/>
  <c r="F271" i="7"/>
  <c r="H270" i="7"/>
  <c r="G270" i="7"/>
  <c r="F270" i="7"/>
  <c r="H269" i="7"/>
  <c r="H267" i="7"/>
  <c r="G267" i="7"/>
  <c r="F267" i="7"/>
  <c r="H264" i="7"/>
  <c r="H263" i="7" s="1"/>
  <c r="G264" i="7"/>
  <c r="F264" i="7"/>
  <c r="H257" i="7"/>
  <c r="G257" i="7"/>
  <c r="F257" i="7"/>
  <c r="H255" i="7"/>
  <c r="G255" i="7"/>
  <c r="F255" i="7"/>
  <c r="H252" i="7"/>
  <c r="G252" i="7"/>
  <c r="F252" i="7"/>
  <c r="H250" i="7"/>
  <c r="G250" i="7"/>
  <c r="F250" i="7"/>
  <c r="H247" i="7"/>
  <c r="G247" i="7"/>
  <c r="F247" i="7"/>
  <c r="H241" i="7"/>
  <c r="G241" i="7"/>
  <c r="F241" i="7"/>
  <c r="H238" i="7"/>
  <c r="G238" i="7"/>
  <c r="F238" i="7"/>
  <c r="H236" i="7"/>
  <c r="G236" i="7"/>
  <c r="F236" i="7"/>
  <c r="H235" i="7"/>
  <c r="G235" i="7"/>
  <c r="F235" i="7"/>
  <c r="H234" i="7"/>
  <c r="H233" i="7" s="1"/>
  <c r="G234" i="7"/>
  <c r="F234" i="7"/>
  <c r="F233" i="7" s="1"/>
  <c r="H231" i="7"/>
  <c r="G231" i="7"/>
  <c r="F231" i="7"/>
  <c r="H229" i="7"/>
  <c r="G229" i="7"/>
  <c r="F229" i="7"/>
  <c r="F227" i="7" s="1"/>
  <c r="F226" i="7" s="1"/>
  <c r="H228" i="7"/>
  <c r="H227" i="7" s="1"/>
  <c r="H226" i="7" s="1"/>
  <c r="G228" i="7"/>
  <c r="F228" i="7"/>
  <c r="G227" i="7"/>
  <c r="G226" i="7" s="1"/>
  <c r="H224" i="7"/>
  <c r="G224" i="7"/>
  <c r="F224" i="7"/>
  <c r="H223" i="7"/>
  <c r="H222" i="7" s="1"/>
  <c r="G223" i="7"/>
  <c r="G222" i="7" s="1"/>
  <c r="F223" i="7"/>
  <c r="F222" i="7"/>
  <c r="H221" i="7"/>
  <c r="G221" i="7"/>
  <c r="F221" i="7"/>
  <c r="H220" i="7"/>
  <c r="G220" i="7"/>
  <c r="G219" i="7" s="1"/>
  <c r="F220" i="7"/>
  <c r="F219" i="7"/>
  <c r="H217" i="7"/>
  <c r="G217" i="7"/>
  <c r="F217" i="7"/>
  <c r="H213" i="7"/>
  <c r="G213" i="7"/>
  <c r="F213" i="7"/>
  <c r="H212" i="7"/>
  <c r="G212" i="7"/>
  <c r="F212" i="7"/>
  <c r="F210" i="7" s="1"/>
  <c r="H211" i="7"/>
  <c r="G211" i="7"/>
  <c r="F211" i="7"/>
  <c r="H210" i="7"/>
  <c r="G210" i="7"/>
  <c r="H206" i="7"/>
  <c r="G206" i="7"/>
  <c r="F206" i="7"/>
  <c r="H204" i="7"/>
  <c r="G204" i="7"/>
  <c r="F204" i="7"/>
  <c r="H203" i="7"/>
  <c r="G203" i="7"/>
  <c r="F203" i="7"/>
  <c r="H201" i="7"/>
  <c r="G201" i="7"/>
  <c r="F201" i="7"/>
  <c r="H200" i="7"/>
  <c r="G200" i="7"/>
  <c r="F200" i="7"/>
  <c r="H199" i="7"/>
  <c r="G199" i="7"/>
  <c r="F199" i="7"/>
  <c r="F198" i="7" s="1"/>
  <c r="H195" i="7"/>
  <c r="G195" i="7"/>
  <c r="G194" i="7" s="1"/>
  <c r="F195" i="7"/>
  <c r="F194" i="7" s="1"/>
  <c r="H194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6" i="7"/>
  <c r="H185" i="7" s="1"/>
  <c r="G186" i="7"/>
  <c r="F186" i="7"/>
  <c r="H183" i="7"/>
  <c r="H181" i="7" s="1"/>
  <c r="G183" i="7"/>
  <c r="F183" i="7"/>
  <c r="H182" i="7"/>
  <c r="G182" i="7"/>
  <c r="G181" i="7" s="1"/>
  <c r="F182" i="7"/>
  <c r="F181" i="7" s="1"/>
  <c r="H178" i="7"/>
  <c r="H177" i="7" s="1"/>
  <c r="G178" i="7"/>
  <c r="G177" i="7" s="1"/>
  <c r="F178" i="7"/>
  <c r="F177" i="7"/>
  <c r="H176" i="7"/>
  <c r="G176" i="7"/>
  <c r="F176" i="7"/>
  <c r="H175" i="7"/>
  <c r="G175" i="7"/>
  <c r="F175" i="7"/>
  <c r="H174" i="7"/>
  <c r="G174" i="7"/>
  <c r="F174" i="7"/>
  <c r="F173" i="7" s="1"/>
  <c r="H172" i="7"/>
  <c r="G172" i="7"/>
  <c r="F172" i="7"/>
  <c r="F171" i="7" s="1"/>
  <c r="H171" i="7"/>
  <c r="G171" i="7"/>
  <c r="H168" i="7"/>
  <c r="G168" i="7"/>
  <c r="F168" i="7"/>
  <c r="H166" i="7"/>
  <c r="G166" i="7"/>
  <c r="F166" i="7"/>
  <c r="H164" i="7"/>
  <c r="G164" i="7"/>
  <c r="F164" i="7"/>
  <c r="H162" i="7"/>
  <c r="G162" i="7"/>
  <c r="F162" i="7"/>
  <c r="H160" i="7"/>
  <c r="G160" i="7"/>
  <c r="G159" i="7" s="1"/>
  <c r="F160" i="7"/>
  <c r="F159" i="7" s="1"/>
  <c r="H159" i="7"/>
  <c r="H158" i="7"/>
  <c r="H157" i="7" s="1"/>
  <c r="G158" i="7"/>
  <c r="G157" i="7" s="1"/>
  <c r="F158" i="7"/>
  <c r="F157" i="7"/>
  <c r="H156" i="7"/>
  <c r="G156" i="7"/>
  <c r="G155" i="7" s="1"/>
  <c r="F156" i="7"/>
  <c r="F155" i="7" s="1"/>
  <c r="H155" i="7"/>
  <c r="H154" i="7"/>
  <c r="H153" i="7" s="1"/>
  <c r="G154" i="7"/>
  <c r="F154" i="7"/>
  <c r="F153" i="7" s="1"/>
  <c r="G153" i="7"/>
  <c r="H152" i="7"/>
  <c r="H151" i="7" s="1"/>
  <c r="G152" i="7"/>
  <c r="G151" i="7" s="1"/>
  <c r="F152" i="7"/>
  <c r="F151" i="7" s="1"/>
  <c r="H150" i="7"/>
  <c r="H149" i="7" s="1"/>
  <c r="G150" i="7"/>
  <c r="G149" i="7" s="1"/>
  <c r="F150" i="7"/>
  <c r="F149" i="7" s="1"/>
  <c r="H148" i="7"/>
  <c r="H147" i="7" s="1"/>
  <c r="G148" i="7"/>
  <c r="G147" i="7" s="1"/>
  <c r="F148" i="7"/>
  <c r="F147" i="7" s="1"/>
  <c r="H146" i="7"/>
  <c r="H145" i="7" s="1"/>
  <c r="G146" i="7"/>
  <c r="F146" i="7"/>
  <c r="G145" i="7"/>
  <c r="F145" i="7"/>
  <c r="H144" i="7"/>
  <c r="G144" i="7"/>
  <c r="G143" i="7" s="1"/>
  <c r="F144" i="7"/>
  <c r="F143" i="7" s="1"/>
  <c r="H143" i="7"/>
  <c r="H142" i="7"/>
  <c r="H141" i="7" s="1"/>
  <c r="G142" i="7"/>
  <c r="G141" i="7" s="1"/>
  <c r="F142" i="7"/>
  <c r="F141" i="7"/>
  <c r="H139" i="7"/>
  <c r="G139" i="7"/>
  <c r="F139" i="7"/>
  <c r="F138" i="7" s="1"/>
  <c r="H138" i="7"/>
  <c r="G138" i="7"/>
  <c r="H136" i="7"/>
  <c r="G136" i="7"/>
  <c r="F136" i="7"/>
  <c r="H134" i="7"/>
  <c r="G134" i="7"/>
  <c r="F134" i="7"/>
  <c r="H131" i="7"/>
  <c r="G131" i="7"/>
  <c r="F131" i="7"/>
  <c r="H129" i="7"/>
  <c r="G129" i="7"/>
  <c r="F129" i="7"/>
  <c r="H127" i="7"/>
  <c r="G127" i="7"/>
  <c r="F127" i="7"/>
  <c r="H125" i="7"/>
  <c r="G125" i="7"/>
  <c r="F125" i="7"/>
  <c r="H123" i="7"/>
  <c r="G123" i="7"/>
  <c r="F123" i="7"/>
  <c r="H119" i="7"/>
  <c r="G119" i="7"/>
  <c r="F119" i="7"/>
  <c r="H117" i="7"/>
  <c r="G117" i="7"/>
  <c r="F117" i="7"/>
  <c r="H115" i="7"/>
  <c r="G115" i="7"/>
  <c r="F115" i="7"/>
  <c r="H113" i="7"/>
  <c r="G113" i="7"/>
  <c r="F113" i="7"/>
  <c r="H110" i="7"/>
  <c r="G110" i="7"/>
  <c r="F110" i="7"/>
  <c r="H108" i="7"/>
  <c r="G108" i="7"/>
  <c r="F108" i="7"/>
  <c r="H106" i="7"/>
  <c r="G106" i="7"/>
  <c r="F106" i="7"/>
  <c r="H104" i="7"/>
  <c r="H103" i="7" s="1"/>
  <c r="G104" i="7"/>
  <c r="F104" i="7"/>
  <c r="G103" i="7"/>
  <c r="F103" i="7"/>
  <c r="H101" i="7"/>
  <c r="G101" i="7"/>
  <c r="F101" i="7"/>
  <c r="H97" i="7"/>
  <c r="G97" i="7"/>
  <c r="F97" i="7"/>
  <c r="H95" i="7"/>
  <c r="G95" i="7"/>
  <c r="F95" i="7"/>
  <c r="H93" i="7"/>
  <c r="G93" i="7"/>
  <c r="F93" i="7"/>
  <c r="H92" i="7"/>
  <c r="G92" i="7"/>
  <c r="G91" i="7" s="1"/>
  <c r="F92" i="7"/>
  <c r="F91" i="7" s="1"/>
  <c r="H91" i="7"/>
  <c r="H88" i="7"/>
  <c r="H87" i="7" s="1"/>
  <c r="G88" i="7"/>
  <c r="F88" i="7"/>
  <c r="F87" i="7" s="1"/>
  <c r="G87" i="7"/>
  <c r="H84" i="7"/>
  <c r="G84" i="7"/>
  <c r="F84" i="7"/>
  <c r="F83" i="7" s="1"/>
  <c r="H83" i="7"/>
  <c r="G83" i="7"/>
  <c r="H82" i="7"/>
  <c r="G82" i="7"/>
  <c r="F82" i="7"/>
  <c r="H81" i="7"/>
  <c r="G81" i="7"/>
  <c r="F81" i="7"/>
  <c r="H76" i="7"/>
  <c r="G76" i="7"/>
  <c r="F76" i="7"/>
  <c r="H73" i="7"/>
  <c r="G73" i="7"/>
  <c r="F73" i="7"/>
  <c r="H71" i="7"/>
  <c r="G71" i="7"/>
  <c r="F71" i="7"/>
  <c r="H68" i="7"/>
  <c r="G68" i="7"/>
  <c r="F68" i="7"/>
  <c r="H66" i="7"/>
  <c r="G66" i="7"/>
  <c r="F66" i="7"/>
  <c r="H64" i="7"/>
  <c r="G64" i="7"/>
  <c r="F64" i="7"/>
  <c r="H62" i="7"/>
  <c r="G62" i="7"/>
  <c r="F62" i="7"/>
  <c r="H61" i="7"/>
  <c r="G61" i="7"/>
  <c r="F61" i="7"/>
  <c r="F60" i="7" s="1"/>
  <c r="H60" i="7"/>
  <c r="G60" i="7"/>
  <c r="H59" i="7"/>
  <c r="H58" i="7" s="1"/>
  <c r="G59" i="7"/>
  <c r="F59" i="7"/>
  <c r="F58" i="7" s="1"/>
  <c r="G58" i="7"/>
  <c r="H57" i="7"/>
  <c r="G57" i="7"/>
  <c r="G56" i="7" s="1"/>
  <c r="F57" i="7"/>
  <c r="F56" i="7" s="1"/>
  <c r="H56" i="7"/>
  <c r="H54" i="7"/>
  <c r="G54" i="7"/>
  <c r="F54" i="7"/>
  <c r="H53" i="7"/>
  <c r="H52" i="7" s="1"/>
  <c r="G53" i="7"/>
  <c r="G52" i="7" s="1"/>
  <c r="F53" i="7"/>
  <c r="F52" i="7" s="1"/>
  <c r="H50" i="7"/>
  <c r="G50" i="7"/>
  <c r="F50" i="7"/>
  <c r="H49" i="7"/>
  <c r="H48" i="7" s="1"/>
  <c r="G49" i="7"/>
  <c r="F49" i="7"/>
  <c r="G48" i="7"/>
  <c r="F48" i="7"/>
  <c r="H47" i="7"/>
  <c r="H46" i="7" s="1"/>
  <c r="G47" i="7"/>
  <c r="G46" i="7" s="1"/>
  <c r="F47" i="7"/>
  <c r="F46" i="7" s="1"/>
  <c r="H44" i="7"/>
  <c r="H43" i="7" s="1"/>
  <c r="H42" i="7" s="1"/>
  <c r="G44" i="7"/>
  <c r="G43" i="7" s="1"/>
  <c r="G42" i="7" s="1"/>
  <c r="F44" i="7"/>
  <c r="F43" i="7" s="1"/>
  <c r="F42" i="7" s="1"/>
  <c r="H41" i="7"/>
  <c r="H40" i="7" s="1"/>
  <c r="G41" i="7"/>
  <c r="F41" i="7"/>
  <c r="F40" i="7" s="1"/>
  <c r="G40" i="7"/>
  <c r="H36" i="7"/>
  <c r="G36" i="7"/>
  <c r="F36" i="7"/>
  <c r="H32" i="7"/>
  <c r="G32" i="7"/>
  <c r="F32" i="7"/>
  <c r="H29" i="7"/>
  <c r="G29" i="7"/>
  <c r="G28" i="7" s="1"/>
  <c r="F29" i="7"/>
  <c r="F28" i="7" s="1"/>
  <c r="H28" i="7"/>
  <c r="H27" i="7"/>
  <c r="H26" i="7" s="1"/>
  <c r="G27" i="7"/>
  <c r="F27" i="7"/>
  <c r="F26" i="7" s="1"/>
  <c r="G26" i="7"/>
  <c r="H25" i="7"/>
  <c r="G25" i="7"/>
  <c r="F25" i="7"/>
  <c r="H24" i="7"/>
  <c r="G24" i="7"/>
  <c r="F24" i="7"/>
  <c r="H23" i="7"/>
  <c r="H20" i="7"/>
  <c r="G20" i="7"/>
  <c r="F20" i="7"/>
  <c r="H18" i="7"/>
  <c r="G18" i="7"/>
  <c r="F18" i="7"/>
  <c r="H14" i="7"/>
  <c r="G14" i="7"/>
  <c r="F14" i="7"/>
  <c r="H12" i="7"/>
  <c r="H11" i="7" s="1"/>
  <c r="H10" i="7" s="1"/>
  <c r="G12" i="7"/>
  <c r="G11" i="7" s="1"/>
  <c r="G10" i="7" s="1"/>
  <c r="F12" i="7"/>
  <c r="F11" i="7" s="1"/>
  <c r="F10" i="7" s="1"/>
  <c r="G86" i="7" l="1"/>
  <c r="G85" i="7" s="1"/>
  <c r="G112" i="7"/>
  <c r="F122" i="7"/>
  <c r="G140" i="7"/>
  <c r="H431" i="7"/>
  <c r="H112" i="7"/>
  <c r="F112" i="7"/>
  <c r="G122" i="7"/>
  <c r="H122" i="7"/>
  <c r="H140" i="7"/>
  <c r="G161" i="7"/>
  <c r="F193" i="7"/>
  <c r="F230" i="7"/>
  <c r="H86" i="7"/>
  <c r="H85" i="7" s="1"/>
  <c r="F140" i="7"/>
  <c r="H161" i="7"/>
  <c r="F161" i="7"/>
  <c r="G263" i="7"/>
  <c r="F431" i="7"/>
  <c r="F86" i="7"/>
  <c r="F85" i="7" s="1"/>
  <c r="G431" i="7"/>
  <c r="G430" i="7" s="1"/>
  <c r="H230" i="7"/>
  <c r="G13" i="7"/>
  <c r="H286" i="7"/>
  <c r="F23" i="7"/>
  <c r="F22" i="7" s="1"/>
  <c r="G23" i="7"/>
  <c r="G22" i="7" s="1"/>
  <c r="F80" i="7"/>
  <c r="F45" i="7" s="1"/>
  <c r="F185" i="7"/>
  <c r="F180" i="7" s="1"/>
  <c r="G185" i="7"/>
  <c r="G180" i="7" s="1"/>
  <c r="G322" i="7"/>
  <c r="F350" i="7"/>
  <c r="H356" i="7"/>
  <c r="G369" i="7"/>
  <c r="G389" i="7"/>
  <c r="G384" i="7" s="1"/>
  <c r="H389" i="7"/>
  <c r="H384" i="7" s="1"/>
  <c r="F403" i="7"/>
  <c r="G80" i="7"/>
  <c r="G45" i="7" s="1"/>
  <c r="H80" i="7"/>
  <c r="H45" i="7" s="1"/>
  <c r="H314" i="7"/>
  <c r="F325" i="7"/>
  <c r="H350" i="7"/>
  <c r="F356" i="7"/>
  <c r="G363" i="7"/>
  <c r="G375" i="7"/>
  <c r="H219" i="7"/>
  <c r="H216" i="7" s="1"/>
  <c r="G233" i="7"/>
  <c r="G230" i="7" s="1"/>
  <c r="F269" i="7"/>
  <c r="F263" i="7" s="1"/>
  <c r="F314" i="7"/>
  <c r="H325" i="7"/>
  <c r="F272" i="7"/>
  <c r="H430" i="7"/>
  <c r="F430" i="7"/>
  <c r="G35" i="7"/>
  <c r="F35" i="7"/>
  <c r="F105" i="7"/>
  <c r="H13" i="7"/>
  <c r="F100" i="7"/>
  <c r="H100" i="7"/>
  <c r="F170" i="7"/>
  <c r="H180" i="7"/>
  <c r="G272" i="7"/>
  <c r="F13" i="7"/>
  <c r="H35" i="7"/>
  <c r="G100" i="7"/>
  <c r="H105" i="7"/>
  <c r="F286" i="7"/>
  <c r="H22" i="7"/>
  <c r="G173" i="7"/>
  <c r="G170" i="7" s="1"/>
  <c r="F423" i="7"/>
  <c r="F406" i="7" s="1"/>
  <c r="G423" i="7"/>
  <c r="G406" i="7" s="1"/>
  <c r="G105" i="7"/>
  <c r="H173" i="7"/>
  <c r="H170" i="7" s="1"/>
  <c r="G198" i="7"/>
  <c r="G193" i="7" s="1"/>
  <c r="H198" i="7"/>
  <c r="H193" i="7" s="1"/>
  <c r="F216" i="7"/>
  <c r="H272" i="7"/>
  <c r="F328" i="7"/>
  <c r="F363" i="7"/>
  <c r="G372" i="7"/>
  <c r="H381" i="7"/>
  <c r="H406" i="7"/>
  <c r="G286" i="7"/>
  <c r="G216" i="7"/>
  <c r="G325" i="7"/>
  <c r="H343" i="7"/>
  <c r="F400" i="7"/>
  <c r="F384" i="7" s="1"/>
  <c r="F262" i="7" l="1"/>
  <c r="H296" i="7"/>
  <c r="H281" i="7" s="1"/>
  <c r="G296" i="7"/>
  <c r="F296" i="7"/>
  <c r="F281" i="7" s="1"/>
  <c r="H9" i="7"/>
  <c r="G9" i="7"/>
  <c r="F9" i="7"/>
  <c r="H99" i="7"/>
  <c r="G262" i="7"/>
  <c r="F121" i="7"/>
  <c r="G99" i="7"/>
  <c r="F99" i="7"/>
  <c r="G121" i="7"/>
  <c r="H179" i="7"/>
  <c r="H121" i="7"/>
  <c r="G281" i="7"/>
  <c r="F179" i="7"/>
  <c r="G179" i="7"/>
  <c r="H262" i="7"/>
  <c r="F454" i="7" l="1"/>
  <c r="H454" i="7"/>
  <c r="G454" i="7"/>
  <c r="G223" i="4" l="1"/>
  <c r="H223" i="4"/>
  <c r="F223" i="4"/>
  <c r="G269" i="4"/>
  <c r="H269" i="4"/>
  <c r="F269" i="4"/>
  <c r="F276" i="4"/>
  <c r="G276" i="4"/>
  <c r="H276" i="4"/>
  <c r="H114" i="4" l="1"/>
  <c r="G114" i="4"/>
  <c r="F114" i="4"/>
  <c r="G537" i="4"/>
  <c r="H537" i="4"/>
  <c r="H371" i="4" l="1"/>
  <c r="G371" i="4"/>
  <c r="F371" i="4"/>
  <c r="G535" i="4" l="1"/>
  <c r="G534" i="4" s="1"/>
  <c r="H535" i="4"/>
  <c r="H534" i="4" s="1"/>
  <c r="H261" i="4"/>
  <c r="G261" i="4"/>
  <c r="F69" i="4"/>
  <c r="G507" i="4"/>
  <c r="H507" i="4"/>
  <c r="F507" i="4"/>
  <c r="H29" i="4"/>
  <c r="G29" i="4"/>
  <c r="F29" i="4"/>
  <c r="H12" i="4"/>
  <c r="G12" i="4"/>
  <c r="F12" i="4"/>
  <c r="F537" i="4" l="1"/>
  <c r="G36" i="5"/>
  <c r="H36" i="5"/>
  <c r="G33" i="5"/>
  <c r="H33" i="5"/>
  <c r="F33" i="5"/>
  <c r="F36" i="5"/>
  <c r="G58" i="4" l="1"/>
  <c r="H58" i="4"/>
  <c r="F58" i="4"/>
  <c r="H125" i="4"/>
  <c r="G125" i="4"/>
  <c r="F125" i="4"/>
  <c r="H20" i="4"/>
  <c r="G20" i="4"/>
  <c r="F20" i="4"/>
  <c r="G76" i="4"/>
  <c r="H76" i="4"/>
  <c r="F76" i="4"/>
  <c r="F522" i="4"/>
  <c r="G522" i="4"/>
  <c r="H270" i="4"/>
  <c r="G270" i="4"/>
  <c r="F270" i="4"/>
  <c r="H196" i="4" l="1"/>
  <c r="G196" i="4"/>
  <c r="G299" i="4"/>
  <c r="H299" i="4"/>
  <c r="F299" i="4"/>
  <c r="H286" i="4"/>
  <c r="G286" i="4"/>
  <c r="F286" i="4"/>
  <c r="H274" i="4"/>
  <c r="G274" i="4"/>
  <c r="F274" i="4"/>
  <c r="H233" i="4"/>
  <c r="G233" i="4"/>
  <c r="F233" i="4"/>
  <c r="H232" i="4"/>
  <c r="G232" i="4"/>
  <c r="F232" i="4"/>
  <c r="H231" i="4"/>
  <c r="G231" i="4"/>
  <c r="F231" i="4"/>
  <c r="H230" i="4"/>
  <c r="G230" i="4"/>
  <c r="F230" i="4"/>
  <c r="G342" i="4" l="1"/>
  <c r="H342" i="4"/>
  <c r="F342" i="4"/>
  <c r="G336" i="4"/>
  <c r="H336" i="4"/>
  <c r="F336" i="4"/>
  <c r="G335" i="4"/>
  <c r="H335" i="4"/>
  <c r="F335" i="4"/>
  <c r="H273" i="4"/>
  <c r="G273" i="4"/>
  <c r="F273" i="4"/>
  <c r="F490" i="4"/>
  <c r="G490" i="4"/>
  <c r="H490" i="4"/>
  <c r="H167" i="4"/>
  <c r="G167" i="4"/>
  <c r="F167" i="4"/>
  <c r="H90" i="4" l="1"/>
  <c r="G90" i="4"/>
  <c r="F90" i="4"/>
  <c r="H89" i="4"/>
  <c r="G89" i="4"/>
  <c r="F89" i="4"/>
  <c r="H96" i="4"/>
  <c r="G96" i="4"/>
  <c r="F96" i="4"/>
  <c r="H44" i="4"/>
  <c r="G44" i="4"/>
  <c r="F44" i="4"/>
  <c r="H57" i="4"/>
  <c r="G57" i="4"/>
  <c r="F57" i="4"/>
  <c r="G283" i="4" l="1"/>
  <c r="H283" i="4"/>
  <c r="G284" i="4"/>
  <c r="G282" i="4" s="1"/>
  <c r="H284" i="4"/>
  <c r="H282" i="4" s="1"/>
  <c r="F284" i="4"/>
  <c r="F283" i="4"/>
  <c r="F282" i="4" s="1"/>
  <c r="H50" i="4"/>
  <c r="G50" i="4"/>
  <c r="F50" i="4"/>
  <c r="H69" i="4"/>
  <c r="G69" i="4"/>
  <c r="H92" i="4"/>
  <c r="G92" i="4"/>
  <c r="F92" i="4"/>
  <c r="H65" i="4"/>
  <c r="G65" i="4"/>
  <c r="F65" i="4"/>
  <c r="H67" i="4"/>
  <c r="G67" i="4"/>
  <c r="F67" i="4"/>
  <c r="H55" i="4"/>
  <c r="G55" i="4"/>
  <c r="F55" i="4"/>
  <c r="H222" i="4"/>
  <c r="G222" i="4"/>
  <c r="F222" i="4"/>
  <c r="G182" i="4"/>
  <c r="G181" i="4" s="1"/>
  <c r="H182" i="4"/>
  <c r="H181" i="4" s="1"/>
  <c r="F182" i="4"/>
  <c r="F181" i="4" s="1"/>
  <c r="H194" i="4"/>
  <c r="G194" i="4"/>
  <c r="F194" i="4"/>
  <c r="H192" i="4"/>
  <c r="G192" i="4"/>
  <c r="F192" i="4"/>
  <c r="H190" i="4"/>
  <c r="G190" i="4"/>
  <c r="F190" i="4"/>
  <c r="H188" i="4"/>
  <c r="G188" i="4"/>
  <c r="F188" i="4"/>
  <c r="H186" i="4"/>
  <c r="G186" i="4"/>
  <c r="F186" i="4"/>
  <c r="H184" i="4"/>
  <c r="G184" i="4"/>
  <c r="F184" i="4"/>
  <c r="H179" i="4" l="1"/>
  <c r="G179" i="4"/>
  <c r="F179" i="4"/>
  <c r="H502" i="4"/>
  <c r="G502" i="4"/>
  <c r="F502" i="4"/>
  <c r="H500" i="4"/>
  <c r="G500" i="4"/>
  <c r="F500" i="4"/>
  <c r="G498" i="4" l="1"/>
  <c r="G496" i="4" s="1"/>
  <c r="H498" i="4"/>
  <c r="H496" i="4" s="1"/>
  <c r="F498" i="4"/>
  <c r="F496" i="4" s="1"/>
  <c r="G198" i="4"/>
  <c r="H198" i="4"/>
  <c r="F198" i="4"/>
  <c r="F196" i="4"/>
  <c r="G200" i="4"/>
  <c r="H200" i="4"/>
  <c r="F200" i="4"/>
  <c r="H102" i="4" l="1"/>
  <c r="H101" i="4" s="1"/>
  <c r="G102" i="4"/>
  <c r="G101" i="4" s="1"/>
  <c r="F102" i="4"/>
  <c r="F101" i="4" s="1"/>
  <c r="G216" i="4"/>
  <c r="H216" i="4"/>
  <c r="F216" i="4"/>
  <c r="H220" i="4"/>
  <c r="G220" i="4"/>
  <c r="F220" i="4"/>
  <c r="H219" i="4"/>
  <c r="G219" i="4"/>
  <c r="F219" i="4"/>
  <c r="H218" i="4"/>
  <c r="G218" i="4"/>
  <c r="F218" i="4"/>
  <c r="G359" i="4"/>
  <c r="H359" i="4"/>
  <c r="F359" i="4"/>
  <c r="H459" i="4" l="1"/>
  <c r="G459" i="4"/>
  <c r="F459" i="4"/>
  <c r="G27" i="4"/>
  <c r="H27" i="4"/>
  <c r="F27" i="4"/>
  <c r="H25" i="4"/>
  <c r="G25" i="4"/>
  <c r="F25" i="4"/>
  <c r="H24" i="4"/>
  <c r="G24" i="4"/>
  <c r="F24" i="4"/>
  <c r="G61" i="4"/>
  <c r="H61" i="4"/>
  <c r="F61" i="4"/>
  <c r="H355" i="4"/>
  <c r="G355" i="4"/>
  <c r="H357" i="4"/>
  <c r="G357" i="4"/>
  <c r="H356" i="4"/>
  <c r="G356" i="4"/>
  <c r="F357" i="4"/>
  <c r="F356" i="4"/>
  <c r="F355" i="4" l="1"/>
  <c r="H471" i="4" l="1"/>
  <c r="G471" i="4"/>
  <c r="F471" i="4"/>
  <c r="H470" i="4"/>
  <c r="G470" i="4"/>
  <c r="F470" i="4"/>
  <c r="H469" i="4"/>
  <c r="G469" i="4"/>
  <c r="F469" i="4"/>
  <c r="G474" i="4"/>
  <c r="H474" i="4"/>
  <c r="F474" i="4"/>
  <c r="H5" i="5"/>
  <c r="G5" i="5"/>
  <c r="F5" i="5"/>
  <c r="H467" i="4"/>
  <c r="G467" i="4"/>
  <c r="F467" i="4"/>
  <c r="G383" i="4"/>
  <c r="H383" i="4"/>
  <c r="F383" i="4"/>
  <c r="F468" i="4" l="1"/>
  <c r="G419" i="4"/>
  <c r="H419" i="4"/>
  <c r="F419" i="4"/>
  <c r="G418" i="4"/>
  <c r="H418" i="4"/>
  <c r="F418" i="4"/>
  <c r="G17" i="5"/>
  <c r="H17" i="5"/>
  <c r="F17" i="5"/>
  <c r="G420" i="4" l="1"/>
  <c r="H420" i="4"/>
  <c r="F420" i="4"/>
  <c r="F417" i="4" s="1"/>
  <c r="G3" i="5"/>
  <c r="H3" i="5"/>
  <c r="F3" i="5"/>
  <c r="H381" i="4"/>
  <c r="G381" i="4"/>
  <c r="F381" i="4"/>
  <c r="H380" i="4"/>
  <c r="G380" i="4"/>
  <c r="F380" i="4"/>
  <c r="G378" i="4"/>
  <c r="H378" i="4"/>
  <c r="F378" i="4"/>
  <c r="H376" i="4"/>
  <c r="G376" i="4"/>
  <c r="F376" i="4"/>
  <c r="G374" i="4"/>
  <c r="H374" i="4"/>
  <c r="F374" i="4"/>
  <c r="G372" i="4"/>
  <c r="G370" i="4" s="1"/>
  <c r="H372" i="4"/>
  <c r="H370" i="4" s="1"/>
  <c r="F372" i="4"/>
  <c r="F370" i="4" s="1"/>
  <c r="H293" i="4"/>
  <c r="G293" i="4"/>
  <c r="F293" i="4"/>
  <c r="H292" i="4"/>
  <c r="G292" i="4"/>
  <c r="F292" i="4"/>
  <c r="G248" i="4"/>
  <c r="H248" i="4"/>
  <c r="F248" i="4"/>
  <c r="H245" i="4"/>
  <c r="G245" i="4"/>
  <c r="F245" i="4"/>
  <c r="H244" i="4"/>
  <c r="G244" i="4"/>
  <c r="F244" i="4"/>
  <c r="H243" i="4"/>
  <c r="G243" i="4"/>
  <c r="F243" i="4"/>
  <c r="H239" i="4"/>
  <c r="G239" i="4"/>
  <c r="F239" i="4"/>
  <c r="H227" i="4"/>
  <c r="G227" i="4"/>
  <c r="F227" i="4"/>
  <c r="H226" i="4"/>
  <c r="G226" i="4"/>
  <c r="F226" i="4"/>
  <c r="G506" i="4"/>
  <c r="H506" i="4"/>
  <c r="F506" i="4"/>
  <c r="H505" i="4"/>
  <c r="G505" i="4"/>
  <c r="F505" i="4"/>
  <c r="G504" i="4"/>
  <c r="H504" i="4"/>
  <c r="F504" i="4"/>
  <c r="F242" i="4" l="1"/>
  <c r="G242" i="4"/>
  <c r="H242" i="4"/>
  <c r="G438" i="4"/>
  <c r="H438" i="4"/>
  <c r="F438" i="4"/>
  <c r="G391" i="4"/>
  <c r="H391" i="4"/>
  <c r="F391" i="4"/>
  <c r="H392" i="4"/>
  <c r="G392" i="4"/>
  <c r="F392" i="4"/>
  <c r="H29" i="5"/>
  <c r="G29" i="5"/>
  <c r="F29" i="5"/>
  <c r="G458" i="4"/>
  <c r="H458" i="4"/>
  <c r="F458" i="4"/>
  <c r="G28" i="5"/>
  <c r="H28" i="5"/>
  <c r="F28" i="5"/>
  <c r="G455" i="4"/>
  <c r="H455" i="4"/>
  <c r="F455" i="4"/>
  <c r="H456" i="4"/>
  <c r="G456" i="4"/>
  <c r="F456" i="4"/>
  <c r="G27" i="5"/>
  <c r="H27" i="5"/>
  <c r="F27" i="5"/>
  <c r="G429" i="4"/>
  <c r="H429" i="4"/>
  <c r="F429" i="4"/>
  <c r="H430" i="4"/>
  <c r="G430" i="4"/>
  <c r="F430" i="4"/>
  <c r="G26" i="5"/>
  <c r="H26" i="5"/>
  <c r="F26" i="5"/>
  <c r="G443" i="4"/>
  <c r="H443" i="4"/>
  <c r="F443" i="4"/>
  <c r="H444" i="4"/>
  <c r="G444" i="4"/>
  <c r="F444" i="4"/>
  <c r="H25" i="5"/>
  <c r="G25" i="5"/>
  <c r="F25" i="5"/>
  <c r="G452" i="4"/>
  <c r="H452" i="4"/>
  <c r="F452" i="4"/>
  <c r="H453" i="4"/>
  <c r="G453" i="4"/>
  <c r="F453" i="4"/>
  <c r="G24" i="5"/>
  <c r="H24" i="5"/>
  <c r="F24" i="5"/>
  <c r="G449" i="4"/>
  <c r="H449" i="4"/>
  <c r="F449" i="4"/>
  <c r="H450" i="4"/>
  <c r="G450" i="4"/>
  <c r="F450" i="4"/>
  <c r="G23" i="5"/>
  <c r="H23" i="5"/>
  <c r="F23" i="5"/>
  <c r="F436" i="4"/>
  <c r="G446" i="4"/>
  <c r="H446" i="4"/>
  <c r="F446" i="4"/>
  <c r="H447" i="4"/>
  <c r="G447" i="4"/>
  <c r="F447" i="4"/>
  <c r="G22" i="5"/>
  <c r="H22" i="5"/>
  <c r="F22" i="5"/>
  <c r="G426" i="4"/>
  <c r="H426" i="4"/>
  <c r="F426" i="4"/>
  <c r="H427" i="4"/>
  <c r="G427" i="4"/>
  <c r="F427" i="4"/>
  <c r="G21" i="5"/>
  <c r="H21" i="5"/>
  <c r="F21" i="5"/>
  <c r="G422" i="4"/>
  <c r="H422" i="4"/>
  <c r="F422" i="4"/>
  <c r="H423" i="4"/>
  <c r="G423" i="4"/>
  <c r="F423" i="4"/>
  <c r="G20" i="5"/>
  <c r="H20" i="5"/>
  <c r="F20" i="5"/>
  <c r="H481" i="4"/>
  <c r="G481" i="4"/>
  <c r="F481" i="4"/>
  <c r="H482" i="4"/>
  <c r="G482" i="4"/>
  <c r="F482" i="4"/>
  <c r="H19" i="5"/>
  <c r="G19" i="5"/>
  <c r="F19" i="5"/>
  <c r="G440" i="4"/>
  <c r="H440" i="4"/>
  <c r="G441" i="4"/>
  <c r="H441" i="4"/>
  <c r="F440" i="4"/>
  <c r="F441" i="4"/>
  <c r="G18" i="5"/>
  <c r="H18" i="5"/>
  <c r="F18" i="5"/>
  <c r="G415" i="4"/>
  <c r="H415" i="4"/>
  <c r="F415" i="4"/>
  <c r="G411" i="4"/>
  <c r="H411" i="4"/>
  <c r="G412" i="4"/>
  <c r="H412" i="4"/>
  <c r="F411" i="4"/>
  <c r="F412" i="4"/>
  <c r="G15" i="5"/>
  <c r="H15" i="5"/>
  <c r="F15" i="5"/>
  <c r="G407" i="4"/>
  <c r="H407" i="4"/>
  <c r="F407" i="4"/>
  <c r="H408" i="4"/>
  <c r="G408" i="4"/>
  <c r="F408" i="4"/>
  <c r="G14" i="5"/>
  <c r="H14" i="5"/>
  <c r="F14" i="5"/>
  <c r="G403" i="4"/>
  <c r="H403" i="4"/>
  <c r="G404" i="4"/>
  <c r="H404" i="4"/>
  <c r="F403" i="4"/>
  <c r="F404" i="4"/>
  <c r="G13" i="5"/>
  <c r="H13" i="5"/>
  <c r="F13" i="5"/>
  <c r="G484" i="4"/>
  <c r="H484" i="4"/>
  <c r="F484" i="4"/>
  <c r="H485" i="4"/>
  <c r="G485" i="4"/>
  <c r="F485" i="4"/>
  <c r="G12" i="5"/>
  <c r="H12" i="5"/>
  <c r="F12" i="5"/>
  <c r="G433" i="4"/>
  <c r="H433" i="4"/>
  <c r="F433" i="4"/>
  <c r="H434" i="4"/>
  <c r="G434" i="4"/>
  <c r="F434" i="4"/>
  <c r="G11" i="5"/>
  <c r="H11" i="5"/>
  <c r="F11" i="5"/>
  <c r="H479" i="4"/>
  <c r="G479" i="4"/>
  <c r="F479" i="4"/>
  <c r="H10" i="5"/>
  <c r="G10" i="5"/>
  <c r="F10" i="5"/>
  <c r="G397" i="4"/>
  <c r="H397" i="4"/>
  <c r="F397" i="4"/>
  <c r="H398" i="4"/>
  <c r="G398" i="4"/>
  <c r="F398" i="4"/>
  <c r="H9" i="5"/>
  <c r="G9" i="5"/>
  <c r="F9" i="5"/>
  <c r="H400" i="4"/>
  <c r="G400" i="4"/>
  <c r="F400" i="4"/>
  <c r="H401" i="4"/>
  <c r="G401" i="4"/>
  <c r="F401" i="4"/>
  <c r="H8" i="5"/>
  <c r="G8" i="5"/>
  <c r="F8" i="5"/>
  <c r="H394" i="4"/>
  <c r="G394" i="4"/>
  <c r="F394" i="4"/>
  <c r="H395" i="4"/>
  <c r="G395" i="4"/>
  <c r="F395" i="4"/>
  <c r="H476" i="4"/>
  <c r="G476" i="4"/>
  <c r="F476" i="4"/>
  <c r="H353" i="4"/>
  <c r="G353" i="4"/>
  <c r="F353" i="4"/>
  <c r="F261" i="4"/>
  <c r="H262" i="4"/>
  <c r="G262" i="4"/>
  <c r="F262" i="4"/>
  <c r="F260" i="4" l="1"/>
  <c r="G260" i="4"/>
  <c r="H260" i="4"/>
  <c r="H533" i="4" l="1"/>
  <c r="H532" i="4" s="1"/>
  <c r="G533" i="4"/>
  <c r="G532" i="4" s="1"/>
  <c r="F254" i="4" l="1"/>
  <c r="G254" i="4"/>
  <c r="H254" i="4"/>
  <c r="H193" i="4"/>
  <c r="G193" i="4"/>
  <c r="F193" i="4"/>
  <c r="H185" i="4"/>
  <c r="G185" i="4"/>
  <c r="F185" i="4"/>
  <c r="H165" i="4" l="1"/>
  <c r="G165" i="4"/>
  <c r="F165" i="4"/>
  <c r="G145" i="4" l="1"/>
  <c r="F145" i="4"/>
  <c r="H145" i="4"/>
  <c r="G143" i="4"/>
  <c r="H143" i="4"/>
  <c r="F143" i="4"/>
  <c r="H141" i="4"/>
  <c r="G141" i="4"/>
  <c r="F141" i="4"/>
  <c r="G139" i="4"/>
  <c r="H139" i="4"/>
  <c r="F139" i="4"/>
  <c r="H137" i="4" l="1"/>
  <c r="G137" i="4"/>
  <c r="F137" i="4"/>
  <c r="G135" i="4"/>
  <c r="H135" i="4"/>
  <c r="F135" i="4"/>
  <c r="H133" i="4"/>
  <c r="G133" i="4"/>
  <c r="F133" i="4"/>
  <c r="G131" i="4"/>
  <c r="H131" i="4"/>
  <c r="F131" i="4"/>
  <c r="H530" i="4" l="1"/>
  <c r="H529" i="4" s="1"/>
  <c r="H528" i="4" s="1"/>
  <c r="G530" i="4"/>
  <c r="G529" i="4" s="1"/>
  <c r="G528" i="4" s="1"/>
  <c r="H525" i="4"/>
  <c r="H524" i="4" s="1"/>
  <c r="G525" i="4"/>
  <c r="G524" i="4" s="1"/>
  <c r="H522" i="4"/>
  <c r="H521" i="4" s="1"/>
  <c r="G521" i="4"/>
  <c r="H519" i="4"/>
  <c r="G519" i="4"/>
  <c r="H517" i="4"/>
  <c r="G517" i="4"/>
  <c r="H514" i="4"/>
  <c r="G514" i="4"/>
  <c r="H512" i="4"/>
  <c r="G512" i="4"/>
  <c r="H503" i="4"/>
  <c r="G503" i="4"/>
  <c r="H501" i="4"/>
  <c r="G501" i="4"/>
  <c r="H499" i="4"/>
  <c r="G499" i="4"/>
  <c r="H494" i="4"/>
  <c r="G494" i="4"/>
  <c r="H487" i="4"/>
  <c r="H486" i="4" s="1"/>
  <c r="G487" i="4"/>
  <c r="G486" i="4" s="1"/>
  <c r="H483" i="4"/>
  <c r="G483" i="4"/>
  <c r="H480" i="4"/>
  <c r="G480" i="4"/>
  <c r="H477" i="4"/>
  <c r="G477" i="4"/>
  <c r="H475" i="4"/>
  <c r="G475" i="4"/>
  <c r="H472" i="4"/>
  <c r="G472" i="4"/>
  <c r="H465" i="4"/>
  <c r="G465" i="4"/>
  <c r="H463" i="4"/>
  <c r="G463" i="4"/>
  <c r="H461" i="4"/>
  <c r="G461" i="4"/>
  <c r="H451" i="4"/>
  <c r="G451" i="4"/>
  <c r="H448" i="4"/>
  <c r="G448" i="4"/>
  <c r="H445" i="4"/>
  <c r="G445" i="4"/>
  <c r="H442" i="4"/>
  <c r="G442" i="4"/>
  <c r="H439" i="4"/>
  <c r="G439" i="4"/>
  <c r="H437" i="4"/>
  <c r="G437" i="4"/>
  <c r="H435" i="4"/>
  <c r="G435" i="4"/>
  <c r="H432" i="4"/>
  <c r="G432" i="4"/>
  <c r="H428" i="4"/>
  <c r="G428" i="4"/>
  <c r="H425" i="4"/>
  <c r="G425" i="4"/>
  <c r="H421" i="4"/>
  <c r="G421" i="4"/>
  <c r="H417" i="4"/>
  <c r="G417" i="4"/>
  <c r="H414" i="4"/>
  <c r="G414" i="4"/>
  <c r="H399" i="4"/>
  <c r="G399" i="4"/>
  <c r="H396" i="4"/>
  <c r="G396" i="4"/>
  <c r="H393" i="4"/>
  <c r="G393" i="4"/>
  <c r="H388" i="4"/>
  <c r="G388" i="4"/>
  <c r="H386" i="4"/>
  <c r="G386" i="4"/>
  <c r="H384" i="4"/>
  <c r="G384" i="4"/>
  <c r="H382" i="4"/>
  <c r="G382" i="4"/>
  <c r="H379" i="4"/>
  <c r="G379" i="4"/>
  <c r="H377" i="4"/>
  <c r="G377" i="4"/>
  <c r="H375" i="4"/>
  <c r="G375" i="4"/>
  <c r="H373" i="4"/>
  <c r="G373" i="4"/>
  <c r="H368" i="4"/>
  <c r="G368" i="4"/>
  <c r="H364" i="4"/>
  <c r="G364" i="4"/>
  <c r="H362" i="4"/>
  <c r="G362" i="4"/>
  <c r="H358" i="4"/>
  <c r="G358" i="4"/>
  <c r="H352" i="4"/>
  <c r="G352" i="4"/>
  <c r="H348" i="4"/>
  <c r="H347" i="4" s="1"/>
  <c r="G348" i="4"/>
  <c r="G347" i="4" s="1"/>
  <c r="H338" i="4"/>
  <c r="G338" i="4"/>
  <c r="H334" i="4"/>
  <c r="G334" i="4"/>
  <c r="H332" i="4"/>
  <c r="G332" i="4"/>
  <c r="H329" i="4"/>
  <c r="G329" i="4"/>
  <c r="H327" i="4"/>
  <c r="G327" i="4"/>
  <c r="H325" i="4"/>
  <c r="G325" i="4"/>
  <c r="H323" i="4"/>
  <c r="G323" i="4"/>
  <c r="H316" i="4"/>
  <c r="G316" i="4"/>
  <c r="H314" i="4"/>
  <c r="G314" i="4"/>
  <c r="H311" i="4"/>
  <c r="G311" i="4"/>
  <c r="H309" i="4"/>
  <c r="G309" i="4"/>
  <c r="H306" i="4"/>
  <c r="G306" i="4"/>
  <c r="H303" i="4"/>
  <c r="G303" i="4"/>
  <c r="H296" i="4"/>
  <c r="G296" i="4"/>
  <c r="H294" i="4"/>
  <c r="G294" i="4"/>
  <c r="H291" i="4"/>
  <c r="G291" i="4"/>
  <c r="H288" i="4"/>
  <c r="G288" i="4"/>
  <c r="H280" i="4"/>
  <c r="G280" i="4"/>
  <c r="H266" i="4"/>
  <c r="G266" i="4"/>
  <c r="H263" i="4"/>
  <c r="G263" i="4"/>
  <c r="H277" i="4"/>
  <c r="G277" i="4"/>
  <c r="H275" i="4"/>
  <c r="G275" i="4"/>
  <c r="H256" i="4"/>
  <c r="G256" i="4"/>
  <c r="G272" i="4"/>
  <c r="H272" i="4"/>
  <c r="H252" i="4"/>
  <c r="G252" i="4"/>
  <c r="H249" i="4"/>
  <c r="G249" i="4"/>
  <c r="H246" i="4"/>
  <c r="G246" i="4"/>
  <c r="H238" i="4"/>
  <c r="G238" i="4"/>
  <c r="G237" i="4" s="1"/>
  <c r="H56" i="4"/>
  <c r="G56" i="4"/>
  <c r="H234" i="4"/>
  <c r="G234" i="4"/>
  <c r="G229" i="4"/>
  <c r="H225" i="4"/>
  <c r="G225" i="4"/>
  <c r="H221" i="4"/>
  <c r="G221" i="4"/>
  <c r="H217" i="4"/>
  <c r="G217" i="4"/>
  <c r="H215" i="4"/>
  <c r="G215" i="4"/>
  <c r="H212" i="4"/>
  <c r="G212" i="4"/>
  <c r="H210" i="4"/>
  <c r="G210" i="4"/>
  <c r="H208" i="4"/>
  <c r="G208" i="4"/>
  <c r="H206" i="4"/>
  <c r="G206" i="4"/>
  <c r="H204" i="4"/>
  <c r="G204" i="4"/>
  <c r="H201" i="4"/>
  <c r="G201" i="4"/>
  <c r="H199" i="4"/>
  <c r="G199" i="4"/>
  <c r="H197" i="4"/>
  <c r="G197" i="4"/>
  <c r="H195" i="4"/>
  <c r="G195" i="4"/>
  <c r="H191" i="4"/>
  <c r="G191" i="4"/>
  <c r="H189" i="4"/>
  <c r="G189" i="4"/>
  <c r="H187" i="4"/>
  <c r="G187" i="4"/>
  <c r="H183" i="4"/>
  <c r="G183" i="4"/>
  <c r="H178" i="4"/>
  <c r="G178" i="4"/>
  <c r="H176" i="4"/>
  <c r="G176" i="4"/>
  <c r="H174" i="4"/>
  <c r="G174" i="4"/>
  <c r="H171" i="4"/>
  <c r="G171" i="4"/>
  <c r="H169" i="4"/>
  <c r="G169" i="4"/>
  <c r="H163" i="4"/>
  <c r="G163" i="4"/>
  <c r="H161" i="4"/>
  <c r="G161" i="4"/>
  <c r="H366" i="4"/>
  <c r="G366" i="4"/>
  <c r="H156" i="4"/>
  <c r="G156" i="4"/>
  <c r="H153" i="4"/>
  <c r="G153" i="4"/>
  <c r="H150" i="4"/>
  <c r="G150" i="4"/>
  <c r="G147" i="4"/>
  <c r="H147" i="4"/>
  <c r="H129" i="4"/>
  <c r="G129" i="4"/>
  <c r="H127" i="4"/>
  <c r="G127" i="4"/>
  <c r="H123" i="4"/>
  <c r="G123" i="4"/>
  <c r="H120" i="4"/>
  <c r="G120" i="4"/>
  <c r="H118" i="4"/>
  <c r="G118" i="4"/>
  <c r="H116" i="4"/>
  <c r="G116" i="4"/>
  <c r="H113" i="4"/>
  <c r="G113" i="4"/>
  <c r="H111" i="4"/>
  <c r="G111" i="4"/>
  <c r="H107" i="4"/>
  <c r="G107" i="4"/>
  <c r="H105" i="4"/>
  <c r="G105" i="4"/>
  <c r="H103" i="4"/>
  <c r="G103" i="4"/>
  <c r="H99" i="4"/>
  <c r="G99" i="4"/>
  <c r="H95" i="4"/>
  <c r="G95" i="4"/>
  <c r="H91" i="4"/>
  <c r="G91" i="4"/>
  <c r="H88" i="4"/>
  <c r="G88" i="4"/>
  <c r="H84" i="4"/>
  <c r="G84" i="4"/>
  <c r="H81" i="4"/>
  <c r="G81" i="4"/>
  <c r="H79" i="4"/>
  <c r="G79" i="4"/>
  <c r="H74" i="4"/>
  <c r="G74" i="4"/>
  <c r="H72" i="4"/>
  <c r="G72" i="4"/>
  <c r="H70" i="4"/>
  <c r="G70" i="4"/>
  <c r="H68" i="4"/>
  <c r="G68" i="4"/>
  <c r="H66" i="4"/>
  <c r="G66" i="4"/>
  <c r="H64" i="4"/>
  <c r="G64" i="4"/>
  <c r="H62" i="4"/>
  <c r="G62" i="4"/>
  <c r="H60" i="4"/>
  <c r="G60" i="4"/>
  <c r="H54" i="4"/>
  <c r="G54" i="4"/>
  <c r="H52" i="4"/>
  <c r="G52" i="4"/>
  <c r="H49" i="4"/>
  <c r="H48" i="4" s="1"/>
  <c r="G49" i="4"/>
  <c r="G48" i="4" s="1"/>
  <c r="H46" i="4"/>
  <c r="H45" i="4" s="1"/>
  <c r="G46" i="4"/>
  <c r="G45" i="4" s="1"/>
  <c r="H43" i="4"/>
  <c r="G43" i="4"/>
  <c r="H39" i="4"/>
  <c r="G39" i="4"/>
  <c r="H36" i="4"/>
  <c r="H35" i="4" s="1"/>
  <c r="G36" i="4"/>
  <c r="G35" i="4" s="1"/>
  <c r="H32" i="4"/>
  <c r="G32" i="4"/>
  <c r="H28" i="4"/>
  <c r="G28" i="4"/>
  <c r="H26" i="4"/>
  <c r="G26" i="4"/>
  <c r="H23" i="4"/>
  <c r="G23" i="4"/>
  <c r="H18" i="4"/>
  <c r="G18" i="4"/>
  <c r="H14" i="4"/>
  <c r="G14" i="4"/>
  <c r="H11" i="4"/>
  <c r="H10" i="4" s="1"/>
  <c r="G11" i="4"/>
  <c r="G10" i="4" s="1"/>
  <c r="H237" i="4" l="1"/>
  <c r="G51" i="4"/>
  <c r="H51" i="4"/>
  <c r="G115" i="4"/>
  <c r="G285" i="4"/>
  <c r="G160" i="4"/>
  <c r="H285" i="4"/>
  <c r="H160" i="4"/>
  <c r="H180" i="4"/>
  <c r="G180" i="4"/>
  <c r="H115" i="4"/>
  <c r="G94" i="4"/>
  <c r="G93" i="4" s="1"/>
  <c r="H94" i="4"/>
  <c r="H93" i="4" s="1"/>
  <c r="H406" i="4"/>
  <c r="G402" i="4"/>
  <c r="G13" i="4"/>
  <c r="G38" i="4"/>
  <c r="H354" i="4"/>
  <c r="H351" i="4" s="1"/>
  <c r="G22" i="4"/>
  <c r="G122" i="4"/>
  <c r="H122" i="4"/>
  <c r="G279" i="4"/>
  <c r="H390" i="4"/>
  <c r="H468" i="4"/>
  <c r="H460" i="4" s="1"/>
  <c r="H214" i="4"/>
  <c r="G457" i="4"/>
  <c r="G511" i="4"/>
  <c r="G510" i="4" s="1"/>
  <c r="H279" i="4"/>
  <c r="G354" i="4"/>
  <c r="G351" i="4" s="1"/>
  <c r="H402" i="4"/>
  <c r="G406" i="4"/>
  <c r="G390" i="4"/>
  <c r="H454" i="4"/>
  <c r="H457" i="4"/>
  <c r="H203" i="4"/>
  <c r="H322" i="4"/>
  <c r="H229" i="4"/>
  <c r="H224" i="4" s="1"/>
  <c r="G322" i="4"/>
  <c r="G337" i="4"/>
  <c r="H410" i="4"/>
  <c r="H511" i="4"/>
  <c r="H510" i="4" s="1"/>
  <c r="H22" i="4"/>
  <c r="G203" i="4"/>
  <c r="G224" i="4"/>
  <c r="H337" i="4"/>
  <c r="G410" i="4"/>
  <c r="G454" i="4"/>
  <c r="G468" i="4"/>
  <c r="G460" i="4" s="1"/>
  <c r="G110" i="4"/>
  <c r="H110" i="4"/>
  <c r="H38" i="4"/>
  <c r="H13" i="4"/>
  <c r="G214" i="4"/>
  <c r="H361" i="4" l="1"/>
  <c r="H346" i="4" s="1"/>
  <c r="G361" i="4"/>
  <c r="G346" i="4" s="1"/>
  <c r="G9" i="4"/>
  <c r="G109" i="4"/>
  <c r="G159" i="4"/>
  <c r="G321" i="4"/>
  <c r="H109" i="4"/>
  <c r="H9" i="4"/>
  <c r="H159" i="4"/>
  <c r="H321" i="4"/>
  <c r="G536" i="4" l="1"/>
  <c r="H536" i="4"/>
  <c r="F161" i="4" l="1"/>
  <c r="F362" i="4"/>
  <c r="F46" i="4" l="1"/>
  <c r="F45" i="4" s="1"/>
  <c r="F52" i="4"/>
  <c r="F280" i="4" l="1"/>
  <c r="F379" i="4" l="1"/>
  <c r="F263" i="4"/>
  <c r="F288" i="4"/>
  <c r="F249" i="4"/>
  <c r="F327" i="4"/>
  <c r="F252" i="4"/>
  <c r="F174" i="4" l="1"/>
  <c r="F118" i="4" l="1"/>
  <c r="F334" i="4" l="1"/>
  <c r="F332" i="4"/>
  <c r="F329" i="4"/>
  <c r="F275" i="4"/>
  <c r="F156" i="4"/>
  <c r="F153" i="4"/>
  <c r="F150" i="4"/>
  <c r="F147" i="4" l="1"/>
  <c r="F169" i="4"/>
  <c r="F368" i="4"/>
  <c r="F91" i="4"/>
  <c r="F64" i="4"/>
  <c r="F28" i="4"/>
  <c r="F234" i="4"/>
  <c r="F296" i="4"/>
  <c r="F309" i="4"/>
  <c r="F316" i="4"/>
  <c r="F311" i="4"/>
  <c r="F256" i="4"/>
  <c r="F229" i="4" l="1"/>
  <c r="F525" i="4"/>
  <c r="F524" i="4" s="1"/>
  <c r="F512" i="4"/>
  <c r="F56" i="4"/>
  <c r="F43" i="4" l="1"/>
  <c r="F39" i="4"/>
  <c r="F279" i="4" l="1"/>
  <c r="F105" i="4" l="1"/>
  <c r="F99" i="4"/>
  <c r="F120" i="4"/>
  <c r="F212" i="4" l="1"/>
  <c r="F210" i="4"/>
  <c r="F208" i="4"/>
  <c r="F116" i="4"/>
  <c r="F115" i="4" s="1"/>
  <c r="F191" i="4"/>
  <c r="F189" i="4"/>
  <c r="F187" i="4"/>
  <c r="F178" i="4"/>
  <c r="F501" i="4" l="1"/>
  <c r="F499" i="4"/>
  <c r="F201" i="4"/>
  <c r="F215" i="4"/>
  <c r="F348" i="4" l="1"/>
  <c r="F81" i="4" l="1"/>
  <c r="F79" i="4"/>
  <c r="F74" i="4"/>
  <c r="F72" i="4"/>
  <c r="F70" i="4"/>
  <c r="F176" i="4"/>
  <c r="F68" i="4" l="1"/>
  <c r="F49" i="4"/>
  <c r="F465" i="4" l="1"/>
  <c r="F373" i="4"/>
  <c r="F390" i="4" l="1"/>
  <c r="F448" i="4"/>
  <c r="F445" i="4"/>
  <c r="F425" i="4"/>
  <c r="F480" i="4"/>
  <c r="F439" i="4"/>
  <c r="F414" i="4"/>
  <c r="F483" i="4"/>
  <c r="F432" i="4"/>
  <c r="F399" i="4"/>
  <c r="F393" i="4"/>
  <c r="F475" i="4"/>
  <c r="F503" i="4" l="1"/>
  <c r="F36" i="4" l="1"/>
  <c r="F364" i="4"/>
  <c r="F26" i="4"/>
  <c r="F358" i="4" l="1"/>
  <c r="F35" i="4" l="1"/>
  <c r="F204" i="4" l="1"/>
  <c r="F272" i="4" l="1"/>
  <c r="F163" i="4" l="1"/>
  <c r="F84" i="4" l="1"/>
  <c r="F352" i="4" l="1"/>
  <c r="F111" i="4"/>
  <c r="F225" i="4" l="1"/>
  <c r="F238" i="4" l="1"/>
  <c r="F246" i="4"/>
  <c r="F325" i="4" l="1"/>
  <c r="F472" i="4" l="1"/>
  <c r="F266" i="4" l="1"/>
  <c r="F237" i="4" s="1"/>
  <c r="F530" i="4" l="1"/>
  <c r="F519" i="4"/>
  <c r="F517" i="4"/>
  <c r="F514" i="4"/>
  <c r="F494" i="4"/>
  <c r="F487" i="4"/>
  <c r="F486" i="4" s="1"/>
  <c r="F463" i="4"/>
  <c r="F461" i="4"/>
  <c r="F457" i="4"/>
  <c r="F437" i="4"/>
  <c r="F435" i="4"/>
  <c r="F477" i="4"/>
  <c r="F388" i="4"/>
  <c r="F386" i="4"/>
  <c r="F384" i="4"/>
  <c r="F382" i="4"/>
  <c r="F377" i="4"/>
  <c r="F375" i="4"/>
  <c r="F347" i="4"/>
  <c r="F338" i="4"/>
  <c r="F323" i="4"/>
  <c r="F322" i="4" s="1"/>
  <c r="F314" i="4"/>
  <c r="F306" i="4"/>
  <c r="F303" i="4"/>
  <c r="F294" i="4"/>
  <c r="F291" i="4"/>
  <c r="F277" i="4"/>
  <c r="F224" i="4"/>
  <c r="F221" i="4"/>
  <c r="F217" i="4"/>
  <c r="F206" i="4"/>
  <c r="F203" i="4" s="1"/>
  <c r="F199" i="4"/>
  <c r="F197" i="4"/>
  <c r="F195" i="4"/>
  <c r="F183" i="4"/>
  <c r="F171" i="4"/>
  <c r="F160" i="4" s="1"/>
  <c r="F366" i="4"/>
  <c r="F129" i="4"/>
  <c r="F127" i="4"/>
  <c r="F123" i="4"/>
  <c r="F113" i="4"/>
  <c r="F107" i="4"/>
  <c r="F103" i="4"/>
  <c r="F95" i="4"/>
  <c r="F88" i="4"/>
  <c r="F66" i="4"/>
  <c r="F62" i="4"/>
  <c r="F60" i="4"/>
  <c r="F54" i="4"/>
  <c r="F32" i="4"/>
  <c r="F23" i="4"/>
  <c r="F18" i="4"/>
  <c r="F14" i="4"/>
  <c r="F11" i="4"/>
  <c r="F51" i="4" l="1"/>
  <c r="F285" i="4"/>
  <c r="F180" i="4"/>
  <c r="F94" i="4"/>
  <c r="F122" i="4"/>
  <c r="F460" i="4"/>
  <c r="F214" i="4"/>
  <c r="F511" i="4"/>
  <c r="F10" i="4"/>
  <c r="F48" i="4"/>
  <c r="F521" i="4"/>
  <c r="F529" i="4"/>
  <c r="F442" i="4"/>
  <c r="F406" i="4"/>
  <c r="F410" i="4"/>
  <c r="F428" i="4"/>
  <c r="F454" i="4"/>
  <c r="F110" i="4"/>
  <c r="F337" i="4"/>
  <c r="F396" i="4"/>
  <c r="F38" i="4"/>
  <c r="F354" i="4"/>
  <c r="F13" i="4"/>
  <c r="F402" i="4"/>
  <c r="F451" i="4"/>
  <c r="F421" i="4"/>
  <c r="F22" i="4"/>
  <c r="F361" i="4" l="1"/>
  <c r="F9" i="4"/>
  <c r="F93" i="4"/>
  <c r="F528" i="4"/>
  <c r="F159" i="4"/>
  <c r="F351" i="4"/>
  <c r="F109" i="4"/>
  <c r="F510" i="4"/>
  <c r="F321" i="4"/>
  <c r="F346" i="4" l="1"/>
  <c r="F536" i="4" s="1"/>
  <c r="F538" i="4" l="1"/>
  <c r="F539" i="4" s="1"/>
  <c r="G538" i="4"/>
  <c r="G539" i="4" s="1"/>
  <c r="H538" i="4"/>
  <c r="H539" i="4" s="1"/>
</calcChain>
</file>

<file path=xl/sharedStrings.xml><?xml version="1.0" encoding="utf-8"?>
<sst xmlns="http://schemas.openxmlformats.org/spreadsheetml/2006/main" count="4514" uniqueCount="456">
  <si>
    <t>Другие вопросы в области социальной политики</t>
  </si>
  <si>
    <t>ИТОГО:</t>
  </si>
  <si>
    <t>Дефицит бюджета</t>
  </si>
  <si>
    <t>Подраз дел</t>
  </si>
  <si>
    <t>Общегосударственные вопросы</t>
  </si>
  <si>
    <t>Национальная безопасность и правоохранительная деятельность</t>
  </si>
  <si>
    <t>Другие вопросы в области физической культуры и спорта</t>
  </si>
  <si>
    <t>(тыс. руб.)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</si>
  <si>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</si>
  <si>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</si>
  <si>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</si>
  <si>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государственных (муниципальных) нужд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</si>
  <si>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</si>
  <si>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</si>
  <si>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</si>
  <si>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</si>
  <si>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</si>
  <si>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</si>
  <si>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700</t>
  </si>
  <si>
    <t>Обслуживание государственного (муниципального) долга</t>
  </si>
  <si>
    <t>Закупка товаров работ и услуг для государственных (муниципальных) нужд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</si>
  <si>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</si>
  <si>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Раздел</t>
  </si>
  <si>
    <t>Целевая статья</t>
  </si>
  <si>
    <t>Вид расхода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</si>
  <si>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</si>
  <si>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</si>
  <si>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</si>
  <si>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</si>
  <si>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</si>
  <si>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</si>
  <si>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</si>
  <si>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</si>
  <si>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</si>
  <si>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</si>
  <si>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</si>
  <si>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</si>
  <si>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</si>
  <si>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</si>
  <si>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</si>
  <si>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</si>
  <si>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</si>
  <si>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</si>
  <si>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</si>
  <si>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</si>
  <si>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</si>
  <si>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</si>
  <si>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</si>
  <si>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</si>
  <si>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</si>
  <si>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</si>
  <si>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</si>
  <si>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</si>
  <si>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</si>
  <si>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</si>
  <si>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</si>
  <si>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06</t>
  </si>
  <si>
    <t>Физическая культура и спорт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</si>
  <si>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</si>
  <si>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</si>
  <si>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</si>
  <si>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</si>
  <si>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</si>
  <si>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Культура, кинематография</t>
  </si>
  <si>
    <t>Другие вопросы в области культуры, кинематографии</t>
  </si>
  <si>
    <t>Физическая культура</t>
  </si>
  <si>
    <t>Массовый спорт</t>
  </si>
  <si>
    <t>13</t>
  </si>
  <si>
    <t>Обслуживание государственного внутреннего и муниципального долга</t>
  </si>
  <si>
    <t>Охрана семьи и детства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</si>
  <si>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</si>
  <si>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</si>
  <si>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Начальник финансового управления города Анжеро-Судженска -</t>
  </si>
  <si>
    <t>Центральный аппарат в рамках непрограммного направления деятельности</t>
  </si>
  <si>
    <t>Резервный фонд в рамках подпрограммы "Прочие направления повышения эффективности муниципального управления"  муниципальной программы "Создание условий для повышения эффективности муниципального управления"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</si>
  <si>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</si>
  <si>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313</t>
  </si>
  <si>
    <t>312</t>
  </si>
  <si>
    <t>Капитальные вложения в объекты государственной (муниципальной) собственности</t>
  </si>
  <si>
    <t>Перечень ПНО</t>
  </si>
  <si>
    <t>Судебная система</t>
  </si>
  <si>
    <t>Приложение 5</t>
  </si>
  <si>
    <t>06 0 00 51440</t>
  </si>
  <si>
    <t>05 2 00 72010</t>
  </si>
  <si>
    <t>07 1 00 72430</t>
  </si>
  <si>
    <t>07 1 00 72410</t>
  </si>
  <si>
    <t>04 1 00 50820</t>
  </si>
  <si>
    <t>Е.Н. Зачиняева</t>
  </si>
  <si>
    <t>01 4 00 79050</t>
  </si>
  <si>
    <t>01 5 00 79060</t>
  </si>
  <si>
    <t>01 5 00 71960</t>
  </si>
  <si>
    <t>04 1 00 51350</t>
  </si>
  <si>
    <t>04 3 00 51560</t>
  </si>
  <si>
    <t>99 0 00 51200</t>
  </si>
  <si>
    <t>99  0 00 51200</t>
  </si>
  <si>
    <t>10 5 00 71140</t>
  </si>
  <si>
    <t>08 6 00 80110</t>
  </si>
  <si>
    <t>08 6 0080110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</si>
  <si>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</si>
  <si>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</si>
  <si>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</si>
  <si>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</si>
  <si>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</si>
  <si>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</si>
  <si>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</si>
  <si>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</si>
  <si>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</si>
  <si>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</si>
  <si>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</si>
  <si>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</si>
  <si>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</si>
  <si>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</si>
  <si>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</si>
  <si>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</si>
  <si>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08 6 00 70040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</si>
  <si>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</si>
  <si>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</si>
  <si>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</si>
  <si>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</si>
  <si>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</si>
  <si>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</si>
  <si>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</si>
  <si>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</si>
  <si>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</si>
  <si>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</si>
  <si>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</si>
  <si>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</si>
  <si>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</si>
  <si>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</si>
  <si>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</si>
  <si>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</si>
  <si>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</si>
  <si>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</si>
  <si>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</si>
  <si>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</si>
  <si>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</si>
  <si>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</si>
  <si>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</si>
  <si>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</si>
  <si>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05 2 00 73050</t>
  </si>
  <si>
    <t>04 1 00 R0820</t>
  </si>
  <si>
    <t>08 6 00 R0840</t>
  </si>
  <si>
    <t>14 0 00 L0640</t>
  </si>
  <si>
    <t>05 1 00 13210</t>
  </si>
  <si>
    <t>01 5 00 94040</t>
  </si>
  <si>
    <t>04 2 00 L0200</t>
  </si>
  <si>
    <t>05 1 00 71940</t>
  </si>
  <si>
    <t>06 0 00 70420</t>
  </si>
  <si>
    <t>05 1 00 71930</t>
  </si>
  <si>
    <t>05 2 00 72000</t>
  </si>
  <si>
    <t>04 3 00 S9602</t>
  </si>
  <si>
    <t>05 2 00 70490</t>
  </si>
  <si>
    <t>99 0 00 53910</t>
  </si>
  <si>
    <t xml:space="preserve">99 0 00 53910 </t>
  </si>
  <si>
    <t>Обеспечение проведения выборов и референдумов</t>
  </si>
  <si>
    <t>04 1 00 51340</t>
  </si>
  <si>
    <t>04 3 00 71670</t>
  </si>
  <si>
    <t>07 2 00 73220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</si>
  <si>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2017 год и на плановый период 2018 и 2019 годов</t>
  </si>
  <si>
    <t>2017 год</t>
  </si>
  <si>
    <t>2019 год</t>
  </si>
  <si>
    <t>от _____________________2016г. № ________</t>
  </si>
  <si>
    <t>2018 год</t>
  </si>
  <si>
    <t>01 1 00 11011</t>
  </si>
  <si>
    <t>Повышение эффективности деятельности органа местного самоуправления (Глава)</t>
  </si>
  <si>
    <t>Центральный аппарат</t>
  </si>
  <si>
    <t>99 0 00 24001</t>
  </si>
  <si>
    <t>99 0 00 20111</t>
  </si>
  <si>
    <t>Председатель представительного органа муниципального образования</t>
  </si>
  <si>
    <t>99 0 00 20121</t>
  </si>
  <si>
    <t>Депутаты представительного органа муниципального образования в рамках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</si>
  <si>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</si>
  <si>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</si>
  <si>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</si>
  <si>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Повышение эффективности деятельности органа местного самоуправления (аппарат)</t>
  </si>
  <si>
    <t>01 1 00 11031</t>
  </si>
  <si>
    <t>Повышение эффективности деятельности органа местного самоуправления (АХО)</t>
  </si>
  <si>
    <t>Составление (изменение) списков кандидатов в присяжные заседатели федеральных судов общей юрисдикции</t>
  </si>
  <si>
    <t>99 0 00 20131</t>
  </si>
  <si>
    <t>Председатель Контрольно-счетной палаты</t>
  </si>
  <si>
    <t>99 0 00 200001</t>
  </si>
  <si>
    <t>99 0 00 20001</t>
  </si>
  <si>
    <t>Проведение выборов в представительные органы муниципального образования</t>
  </si>
  <si>
    <t>01 5 00 13071</t>
  </si>
  <si>
    <t>Проведение Всероссийской сельскохозяйственной переписи в 2016 году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</si>
  <si>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</si>
  <si>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</si>
  <si>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</si>
  <si>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Развитие архивного дела на территории Анжеро-Судженского городского округа</t>
  </si>
  <si>
    <t>01 4 00 11401</t>
  </si>
  <si>
    <t>01 5 00 94041</t>
  </si>
  <si>
    <t>Денежные выплаты гражданам, имеющим звание "Почетный гражданин Анжеро-Судженского городского округа"</t>
  </si>
  <si>
    <t>01 5 00 16131</t>
  </si>
  <si>
    <t>Поздравления и памятные подарки</t>
  </si>
  <si>
    <t>01 5 00 17001</t>
  </si>
  <si>
    <t>Исполнение судебных актов</t>
  </si>
  <si>
    <t>Техническая инвентаризация и паспортизация объектов муниципальной собственности</t>
  </si>
  <si>
    <t>02 0 00 13001</t>
  </si>
  <si>
    <t>02 0 00 14001</t>
  </si>
  <si>
    <t>Независимая оценка объектов муниципальной собственности</t>
  </si>
  <si>
    <t>02 0 00 15001</t>
  </si>
  <si>
    <t>Проведение капитальных ремонтов объектов инженерной инфраструктуры, находящихся в муниципальной собственности</t>
  </si>
  <si>
    <t>02 0 00 16001</t>
  </si>
  <si>
    <t>Приобретение и содержание муниципального имущества</t>
  </si>
  <si>
    <t>Размещение информации в СМИ</t>
  </si>
  <si>
    <t>02 0 00 17002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</si>
  <si>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</si>
  <si>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</si>
  <si>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</si>
  <si>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</si>
  <si>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03 3 00 11151</t>
  </si>
  <si>
    <t>03 3 00 12161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</si>
  <si>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</si>
  <si>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</si>
  <si>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</si>
  <si>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03 1 00 11002</t>
  </si>
  <si>
    <t>03 1 00 13002</t>
  </si>
  <si>
    <t>Создание и расзитие АПК "Безопасный город"</t>
  </si>
  <si>
    <t>03 2 00 11701</t>
  </si>
  <si>
    <t>Обеспечение первичных мер пожарной безопасности с массовым пребыванием людей</t>
  </si>
  <si>
    <t>03 2 00 12701</t>
  </si>
  <si>
    <t>Противопожарное обустройство населенных пунктов</t>
  </si>
  <si>
    <t>03 2 00 13701</t>
  </si>
  <si>
    <t>Материальное стимулирование деятельности добровольных пожарных</t>
  </si>
  <si>
    <t>Реализация программ местного развития и обеспечение занятости для шахтерских городов и поселков</t>
  </si>
  <si>
    <t>Возмещение убытков, возникших в результате применения государственных регулируемых цен за реализацию угля населению</t>
  </si>
  <si>
    <t>10 3 00 14101</t>
  </si>
  <si>
    <t>Расходы по содержанию автомобильных дорог и инженерных сооружений на них</t>
  </si>
  <si>
    <t>11 1 00 11121</t>
  </si>
  <si>
    <t>Освещение автодорог местного значения и текущее содержание линий дорожного освещения</t>
  </si>
  <si>
    <t>11 2 00 11111</t>
  </si>
  <si>
    <t>Повышение безопасности дорожного движения, КРИСы, Безопасный город</t>
  </si>
  <si>
    <t>11 7 00 11112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</si>
  <si>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</si>
  <si>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</si>
  <si>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</si>
  <si>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02 0 00 11001</t>
  </si>
  <si>
    <t>Формирование и оформление границ земельных участков</t>
  </si>
  <si>
    <t>02 0 00 12001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</si>
  <si>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</si>
  <si>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Строительство и реконструкция объектов систем водоснабжения и водоотведения за счет средств, поступивших от некоммерческой организации "Фонд развития моногородов" (строительство водовода диаметром 500 мм по объекту "Строительство в Восточном жилом районе г. Анжеро-Судженска")</t>
  </si>
  <si>
    <t>04 6 00 00011</t>
  </si>
  <si>
    <t>04 6 00 00012</t>
  </si>
  <si>
    <t>Строительство и реконструкция объектов систем водоснабжения и водоотведения за счет средств, поступивших от некоммерческой организации "Фонд развития моногородов" (реконструкция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Анжеро-Судженске)</t>
  </si>
  <si>
    <t>04 6 00 00023</t>
  </si>
  <si>
    <t>Строительство и реконструкция объектов системы электроснабжения за счет средств, поступивших от некоммерческой организации "Фонд развития моногородов" (строительство воздушной линии электропередач ВЛ-110 кВ от ВЛ-110 кВ Ново-Анжерская - Анжерская НПС 1, 2 с отпайкой на ПС Судженская до ПС-110 кВ "Мазутная")</t>
  </si>
  <si>
    <t>04 6 00 00024</t>
  </si>
  <si>
    <t>Строительство и реконструкция объектов системы электроснабжения за счет средств, поступивших от некоммерческой организации "Фонд развития моногородов" (Строительство подстанции ПС 110/6 кВ "Мазутная")</t>
  </si>
  <si>
    <t>Строительство и реконструкция объектов систем водоснабжения и водоотведения (строительство водовода диаметром 500 мм по объекту "Строительство в Восточном жилом районе г. Анжеро-Судженска")</t>
  </si>
  <si>
    <t>04 6 00 72911</t>
  </si>
  <si>
    <t>04 6 00 72912</t>
  </si>
  <si>
    <t>Строительство и реконструкция объектов систем водоснабжения и водоотведения (реконструкция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Анжеро-Судженске)</t>
  </si>
  <si>
    <t>04 6 00 72923</t>
  </si>
  <si>
    <t>Строительство и реконструкция объектов систем электроснабжения (строительство воздушной линии электропередач ВЛ-110 кВ от ВЛ-110 кВ Ново-Анжерская - Анжерская НПС 1, 2 с отпайкой на ПС Судженская до ПС-110 кВ "Мазутная")</t>
  </si>
  <si>
    <t>04 6 00 72924</t>
  </si>
  <si>
    <t>Строительство и реконструкция объектов систем электроснабжения (Строительство подстанции ПС 110/6 кВ "Мазутная" )</t>
  </si>
  <si>
    <t>04 6 00 11003</t>
  </si>
  <si>
    <t>Строительство водовода диаметром 500 мм по объекту "Строительство в Восточном жилом районе г. Анжеро-Судженска"</t>
  </si>
  <si>
    <t>04 6 00 12002</t>
  </si>
  <si>
    <t>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</t>
  </si>
  <si>
    <t>Строительство воздушной линии электропередач ВЛ-110 кВ от ВЛ-110 кВ Ново-Анжерская - Анжерская НПС 1,2 с отпайкой на ПС Судженская до ПС-110 кВ "Мазутная"</t>
  </si>
  <si>
    <t>04 6 00 13004</t>
  </si>
  <si>
    <t>04 6 00 14003</t>
  </si>
  <si>
    <t>Строительство подстанции ПС 110/6 кВ "Мазутная"</t>
  </si>
  <si>
    <t>04 1 00 11501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</si>
  <si>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</si>
  <si>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Переселение граждан из аварийного жилищного фонда</t>
  </si>
  <si>
    <t>04 3 00 14151</t>
  </si>
  <si>
    <t>04 3 00 11181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</si>
  <si>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</si>
  <si>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</si>
  <si>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Проведение обследования ветхого и аварийного муниципального жилого фонда, снос ветхого жилья</t>
  </si>
  <si>
    <t>04 4 00 11201</t>
  </si>
  <si>
    <t>Строительство</t>
  </si>
  <si>
    <t>04 4 00 12201</t>
  </si>
  <si>
    <t>Проектные работы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</si>
  <si>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</si>
  <si>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</si>
  <si>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Капитальный ремонт муниципального жилого фонда, в т.ч. отдельных муниципальных квартир</t>
  </si>
  <si>
    <t>04 5 00 12202</t>
  </si>
  <si>
    <t>Капитальный ремонт муниципальных сетей и котельного оборудования</t>
  </si>
  <si>
    <t>10 1 00 11301</t>
  </si>
  <si>
    <t>Актуализация схемы теплоснабжения</t>
  </si>
  <si>
    <t>10 1 00 13301</t>
  </si>
  <si>
    <t>10 1 00 12301</t>
  </si>
  <si>
    <t>Теплоснабжение восточного жилого района г.Анжеро-Судженска (строительство теплотрассы)</t>
  </si>
  <si>
    <t>Предоставление субсидий бюджетным, автономным учреждениям и иным некоммерческим организациям</t>
  </si>
  <si>
    <t>10 1 00 14301</t>
  </si>
  <si>
    <t>Подготовка кадров</t>
  </si>
  <si>
    <t>10 1 00 15301</t>
  </si>
  <si>
    <t>Проверка сметной документации, технадзор</t>
  </si>
  <si>
    <t>Разработка схемы водоснабжения и водоотведения</t>
  </si>
  <si>
    <t>10 1 00 17301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</si>
  <si>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</si>
  <si>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</si>
  <si>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</si>
  <si>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10 3 00 11302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</si>
  <si>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</si>
  <si>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10 3 00 12402</t>
  </si>
  <si>
    <t>10 3 00 13501</t>
  </si>
  <si>
    <t>Компенсация выпадающих доходов организациям, предоставляющим населению банные услуги  по регулируемым государственным тарифам, не обеспечивающим возмещение издержек</t>
  </si>
  <si>
    <t>Содержание и обустройство сибиреязвенных захоронений и скотомогильников (биотермических ям)</t>
  </si>
  <si>
    <t>Стоимость электроэнергии</t>
  </si>
  <si>
    <t>11 2 00 12111</t>
  </si>
  <si>
    <t>11 3 0011131</t>
  </si>
  <si>
    <t>11 3 00 11131</t>
  </si>
  <si>
    <t>Организация работ по озеленению парков, скверов, аллей, улично-дорожной сети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</si>
  <si>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</si>
  <si>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</si>
  <si>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</si>
  <si>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</si>
  <si>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</si>
  <si>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</si>
  <si>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</si>
  <si>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</si>
  <si>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</si>
  <si>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</si>
  <si>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и частных дошкольных образовательных организациях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</si>
  <si>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(детские сады)</t>
  </si>
  <si>
    <t>05 1 00 11161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</si>
  <si>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(возврат зданий)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</si>
  <si>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(школы)</t>
  </si>
  <si>
    <t>05 1 00 11211</t>
  </si>
  <si>
    <t>05 1 00 11231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</si>
  <si>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(УДО)</t>
  </si>
  <si>
    <t>05 1 00 11202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</si>
  <si>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</si>
  <si>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</si>
  <si>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</si>
  <si>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</si>
  <si>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Организация круглогодичного отдыха, оздоровления и занятости обучающихся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</si>
  <si>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</si>
  <si>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05 1 00 12221</t>
  </si>
  <si>
    <t>05 1 00 13011</t>
  </si>
  <si>
    <t>Организация круглогодичного отдыха, оздоровления и занятости обучающихся, закаливание беременных (ДНБ)</t>
  </si>
  <si>
    <t>05 1 00 12051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</si>
  <si>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  (платные и целевые)</t>
  </si>
  <si>
    <t>05 1 00 15231</t>
  </si>
  <si>
    <t>Развитие физической культуры и детско-юношеского спорта в Анжеро-Судженском городском округе (УДО)</t>
  </si>
  <si>
    <t>Адресная социальная поддержка участников образовательного процесса</t>
  </si>
  <si>
    <t>05 2 00 11012</t>
  </si>
  <si>
    <t>Социальная поддержка участников образовательного процесса (ДНБ)</t>
  </si>
  <si>
    <t>Реализация мер в области государственной молодежной политики</t>
  </si>
  <si>
    <t>05 1 00 16071</t>
  </si>
  <si>
    <t>Развитие молодежной политики в Анжеро-Судженском городском округе</t>
  </si>
  <si>
    <t>Организация и осуществление деятельности по опеке и попечительству</t>
  </si>
  <si>
    <t>05 1 00 12021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</si>
  <si>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 (ДНБ)</t>
  </si>
  <si>
    <t>05 1 00 13211</t>
  </si>
  <si>
    <t>Организация круглогодичного отдыха, оздоровления и занятости обучающихся, закаливание беременных (Белая роща)</t>
  </si>
  <si>
    <t>05 1 00 17011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</si>
  <si>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 (ДНБ)</t>
  </si>
  <si>
    <t>05 1 00 18221</t>
  </si>
  <si>
    <t>Развитие кадрового потенциала муниципальной системы образования</t>
  </si>
  <si>
    <t>05 3 00 11041</t>
  </si>
  <si>
    <t>Обеспечение деятельности прочих организаций в сфере образования Анжеро-Судженского городского округа (аппарат)</t>
  </si>
  <si>
    <t>05 3 00 11351</t>
  </si>
  <si>
    <t>Обеспечение деятельности прочих организаций в сфере образования Анжеро-Судженского городского округа (КДП)</t>
  </si>
  <si>
    <t>05 3 00 11521</t>
  </si>
  <si>
    <t>Обеспечение деятельности прочих организаций в сфере образования Анжеро-Судженского городского округа (ЦБ и прочие)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</si>
  <si>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</si>
  <si>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</si>
  <si>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</si>
  <si>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</si>
  <si>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</si>
  <si>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</si>
  <si>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Развитие библиотечного дела</t>
  </si>
  <si>
    <t>06 0 00 13421</t>
  </si>
  <si>
    <t>06 0 00 14041</t>
  </si>
  <si>
    <t>Развитие управления в сфере культуры (аппарат)</t>
  </si>
  <si>
    <t>06 0 00 14521</t>
  </si>
  <si>
    <t>Развитие управления в сфере культуры (ЦБ)</t>
  </si>
  <si>
    <t>Кадровое обеспечение - молодой специалист</t>
  </si>
  <si>
    <t>08 7 00 11005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</si>
  <si>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</si>
  <si>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</si>
  <si>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</si>
  <si>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08 5 00 11051</t>
  </si>
  <si>
    <t>Затраты на содержание муниципальных учреждений социального обслуживания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</si>
  <si>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</si>
  <si>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</si>
  <si>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Выделение социальной выплаты и привлечение внебюджетных источников</t>
  </si>
  <si>
    <t>Социальная поддержка работников образовательных организаций и реализация мероприятий по привлечению молодых специалистов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</si>
  <si>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</si>
  <si>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</si>
  <si>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</si>
  <si>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</si>
  <si>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</si>
  <si>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Осуществление мер социальной поддержки граждан, имеющих почетные звания, в соответствии с Законом Кемеровской области от 17 февраля 2004 года № 7-ОЗ "О здравоохранении"</t>
  </si>
  <si>
    <t>Обеспечение лекарственными средствами, предоставляемыми по рецептам врачей, детей-сирот и детей, оставшихся без попечения родителей, в возрасте до 6 лет, находящихся под опекой, в приемной семье,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</si>
  <si>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Ежемесячное обеспечение детей, страдающих онкологическими заболеваниями, денежной выплатой в соответствии с Законом Кемеровской области от 10 декабря 2007 года № 150-ОЗ "О мере социальной поддержки детей, страдающих онкологическими заболеваниями"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</si>
  <si>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</si>
  <si>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</si>
  <si>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</si>
  <si>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</si>
  <si>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</si>
  <si>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 в соответствии с Законом 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</si>
  <si>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</si>
  <si>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инвалидов в соответствии с Законом Кемеровской области от 14 февраля 2005 года № 25-ОЗ "О социальной поддержке инвалидов"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</si>
  <si>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</si>
  <si>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</si>
  <si>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отдельной категории приемных матерей в соответствии с Законом Кемеровской области от 7 февраля 2013 года № 9-ОЗ "О мерах социальной поддержки отдельной категории приемных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</si>
  <si>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</si>
  <si>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Предоставление гражданам субсидий на оплату жилого помещения и коммунальных услуг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</si>
  <si>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льготы на проезд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</si>
  <si>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</si>
  <si>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</si>
  <si>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Назначение и выплата пенсий Кемеровской области в соответствии с Законом Кемеровской области от 14 января 1999 года № 8-ОЗ "О пенсиях  Кемеровской области"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</si>
  <si>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</si>
  <si>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</si>
  <si>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</si>
  <si>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Меры социальной поддержки по оплате жилищно-коммунальных услуг отдельных категорий граждан, оказание мер социальной поддержки которым относится к ведению субъекта Российской Федерации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</si>
  <si>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</si>
  <si>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</si>
  <si>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</si>
  <si>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</si>
  <si>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"О некоторых вопросах в сфере опеки и попечительства несовершеннолетних" и от 13 марта 2008 года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</si>
  <si>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</si>
  <si>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</si>
  <si>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Ежемесячная денежная выплата отдельным категориям семей в случае рождения третьего ребенка или последующих детей в соответствии с Законом Кемеровской области от 9 июля 2012 года № 73-ОЗ "О ежемесячной денежной выплате отдельным категориям семей в случае рождения третьего ребенка или последующих детей"</t>
  </si>
  <si>
    <t>Ежемесячное пособие на ребенка в соответствии с Законом Кемеровской области от 18 ноября 2004 года № 75-ОЗ "О размере, порядке назначения и выплаты ежемесячного пособия на ребенка"</t>
  </si>
  <si>
    <t>Поддержка молодых семей и семей бюджетников</t>
  </si>
  <si>
    <t>01 5 00 15011</t>
  </si>
  <si>
    <t>08 1 00 11403</t>
  </si>
  <si>
    <t>Адресная помощь</t>
  </si>
  <si>
    <t>08 1 00 12401</t>
  </si>
  <si>
    <t>Поддержка общественных организаций</t>
  </si>
  <si>
    <t>Поддержка пенсионеров и инвалидов</t>
  </si>
  <si>
    <t>08 1 00 13401</t>
  </si>
  <si>
    <t>Возмещение затрат по содержанию специализированного муниципального жилого фонда</t>
  </si>
  <si>
    <t>08 1 00 14401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</si>
  <si>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</si>
  <si>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08 1 00 15401</t>
  </si>
  <si>
    <t>Социальная поддержка и социальное обслуживание населения в части содержания органов местного самоуправления</t>
  </si>
  <si>
    <t>09 0 00 11013</t>
  </si>
  <si>
    <t>Повышение доступности и качества спортивно-оздоровительных услуг</t>
  </si>
  <si>
    <t>09 0 00 12011</t>
  </si>
  <si>
    <t>Обеспечение доступа населения к спортивным сооружениям для занятий физической культурой и спортом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</si>
  <si>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</si>
  <si>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</si>
  <si>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09 0 00 11042</t>
  </si>
  <si>
    <t>Повышение доступности и качества спортивно-оздоровительных услуг (аппарат)</t>
  </si>
  <si>
    <t>12 0 00 11004</t>
  </si>
  <si>
    <t>Процентные платежи по муниципальному долгу Анжеро-Судженского городского округа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</si>
  <si>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</si>
  <si>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Условно утвержденные расходы</t>
  </si>
  <si>
    <t>99</t>
  </si>
  <si>
    <t>03 1 00 14002</t>
  </si>
  <si>
    <t>Развитие ЕДДС Анжеро-Судженского городского округа</t>
  </si>
  <si>
    <t>04 3 00 12151</t>
  </si>
  <si>
    <t>Развитие физической культуры и детско-юношеского спорта в Анжеро-Судженском городском округе (ЦБ)</t>
  </si>
  <si>
    <t>05 1 00 15521</t>
  </si>
  <si>
    <t>Создание условий для развития физической культуры и массового спорта в городском округе</t>
  </si>
  <si>
    <t>09 0 00 13012</t>
  </si>
  <si>
    <t>99 0 00 99999</t>
  </si>
  <si>
    <t>Дополнительное образование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</si>
</sst>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textRotation="90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4" fillId="0" borderId="1" xfId="0" applyNumberFormat="1" applyFont="1" applyFill="1" applyBorder="1" applyAlignment="1">
      <alignment vertical="top" wrapText="1"/>
    </xf>
    <xf numFmtId="49" fontId="15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15" fillId="0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1" fillId="2" borderId="7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6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vertical="top" wrapText="1"/>
    </xf>
    <xf numFmtId="164" fontId="4" fillId="0" borderId="0" xfId="0" applyNumberFormat="1" applyFont="1" applyFill="1" applyAlignment="1">
      <alignment wrapText="1"/>
    </xf>
    <xf numFmtId="0" fontId="0" fillId="0" borderId="1" xfId="0" applyFont="1" applyFill="1" applyBorder="1" applyAlignment="1">
      <alignment horizontal="center" wrapText="1"/>
    </xf>
    <xf numFmtId="164" fontId="0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165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3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19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" fontId="1" fillId="0" borderId="0" xfId="1" applyNumberFormat="1"/>
    <xf numFmtId="0" fontId="0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9" fillId="0" borderId="8" xfId="0" applyNumberFormat="1" applyFont="1" applyFill="1" applyBorder="1" applyAlignment="1">
      <alignment horizontal="right" vertical="top" wrapText="1"/>
    </xf>
    <xf numFmtId="0" fontId="1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0" fontId="15" fillId="0" borderId="10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4%20&#1082;%20&#1088;&#1077;&#1096;&#1077;&#1085;&#1080;&#1102;%20-%20&#1088;&#1072;&#1089;&#1093;&#1086;&#1076;&#1099;%20&#1087;&#1086;%20&#1087;&#1088;&#1086;&#1075;&#1088;&#1072;&#1084;&#1084;&#1072;&#1084;%20&#1073;&#1102;&#1076;&#1078;&#1077;&#1090;%202017%20&#1075;.%20&#1080;%20&#1087;&#1083;&#1072;&#1085;&#1086;&#1074;&#1099;&#1081;%20&#1087;&#1077;&#1088;&#1080;&#1086;&#1076;%202018-19&#1075;&#1075;.%20&#1087;&#1086;%20&#1075;&#1088;&#1091;&#1087;&#1087;&#1072;&#1084;%20&#1074;&#1080;&#1076;&#1086;&#1074;%20&#1088;&#1072;&#1089;&#1093;&#1086;&#1076;&#1086;&#1074;%20&#1040;-&#1057;%20&#1043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."/>
      <sheetName val="без нулевых строк"/>
    </sheetNames>
    <sheetDataSet>
      <sheetData sheetId="0">
        <row r="570">
          <cell r="G570">
            <v>2414660.8000000003</v>
          </cell>
          <cell r="H570">
            <v>2160059.9000000004</v>
          </cell>
          <cell r="I570">
            <v>2242476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658"/>
  <sheetViews>
    <sheetView topLeftCell="A261" zoomScaleNormal="100" workbookViewId="0">
      <selection activeCell="A274" sqref="A274"/>
    </sheetView>
  </sheetViews>
  <sheetFormatPr defaultRowHeight="12.75" x14ac:dyDescent="0.2"/>
  <cols>
    <col min="1" max="1" width="61.140625" style="13" customWidth="1"/>
    <col min="2" max="2" width="4.85546875" style="20" customWidth="1"/>
    <col min="3" max="3" width="6.140625" style="20" customWidth="1"/>
    <col min="4" max="4" width="16.85546875" style="20" customWidth="1"/>
    <col min="5" max="5" width="5.85546875" style="20" customWidth="1"/>
    <col min="6" max="6" width="14.85546875" style="20" customWidth="1"/>
    <col min="7" max="7" width="14.85546875" style="60" customWidth="1"/>
    <col min="8" max="8" width="17" style="60" customWidth="1"/>
    <col min="9" max="9" width="14.7109375" style="13" customWidth="1"/>
    <col min="10" max="16384" width="9.140625" style="13"/>
  </cols>
  <sheetData>
    <row r="1" spans="1:8" ht="12.75" customHeight="1" x14ac:dyDescent="0.2">
      <c r="C1" s="13"/>
      <c r="D1" s="13"/>
      <c r="E1" s="13"/>
      <c r="F1" s="13"/>
      <c r="G1" s="13"/>
      <c r="H1" s="62" t="s">
        <v>81</v>
      </c>
    </row>
    <row r="2" spans="1:8" ht="12.75" customHeight="1" x14ac:dyDescent="0.2">
      <c r="C2" s="13"/>
      <c r="D2" s="13"/>
      <c r="E2" s="13"/>
      <c r="F2" s="13"/>
      <c r="G2" s="13"/>
      <c r="H2" s="62" t="s">
        <v>70</v>
      </c>
    </row>
    <row r="3" spans="1:8" ht="12.75" customHeight="1" x14ac:dyDescent="0.2">
      <c r="C3" s="13"/>
      <c r="D3" s="13"/>
      <c r="E3" s="13"/>
      <c r="F3" s="13"/>
      <c r="G3" s="13"/>
      <c r="H3" s="62" t="s">
        <v>161</v>
      </c>
    </row>
    <row r="4" spans="1:8" x14ac:dyDescent="0.2">
      <c r="A4" s="33"/>
      <c r="B4" s="33"/>
      <c r="C4" s="33"/>
      <c r="D4" s="33"/>
      <c r="E4" s="34"/>
      <c r="F4" s="33"/>
      <c r="G4" s="33"/>
      <c r="H4" s="33"/>
    </row>
    <row r="5" spans="1:8" s="15" customFormat="1" ht="75" customHeight="1" x14ac:dyDescent="0.2">
      <c r="A5" s="72" t="s">
        <v>158</v>
      </c>
      <c r="B5" s="72"/>
      <c r="C5" s="72"/>
      <c r="D5" s="72"/>
      <c r="E5" s="72"/>
      <c r="F5" s="72"/>
      <c r="G5" s="72"/>
      <c r="H5" s="72"/>
    </row>
    <row r="6" spans="1:8" s="15" customFormat="1" ht="18.75" x14ac:dyDescent="0.2">
      <c r="A6" s="72"/>
      <c r="B6" s="72"/>
      <c r="C6" s="72"/>
      <c r="D6" s="72"/>
      <c r="E6" s="72"/>
      <c r="F6" s="72"/>
    </row>
    <row r="7" spans="1:8" s="16" customFormat="1" ht="12" thickBot="1" x14ac:dyDescent="0.25">
      <c r="A7" s="71"/>
      <c r="B7" s="71"/>
      <c r="C7" s="71"/>
      <c r="D7" s="71"/>
      <c r="E7" s="71"/>
      <c r="F7" s="71"/>
      <c r="H7" s="61" t="s">
        <v>7</v>
      </c>
    </row>
    <row r="8" spans="1:8" ht="39.75" x14ac:dyDescent="0.2">
      <c r="A8" s="17"/>
      <c r="B8" s="18" t="s">
        <v>22</v>
      </c>
      <c r="C8" s="18" t="s">
        <v>3</v>
      </c>
      <c r="D8" s="18" t="s">
        <v>23</v>
      </c>
      <c r="E8" s="18" t="s">
        <v>24</v>
      </c>
      <c r="F8" s="19" t="s">
        <v>159</v>
      </c>
      <c r="G8" s="19" t="s">
        <v>162</v>
      </c>
      <c r="H8" s="19" t="s">
        <v>160</v>
      </c>
    </row>
    <row r="9" spans="1:8" s="22" customFormat="1" ht="15.75" x14ac:dyDescent="0.25">
      <c r="A9" s="35" t="s">
        <v>4</v>
      </c>
      <c r="B9" s="36" t="s">
        <v>25</v>
      </c>
      <c r="C9" s="36" t="s">
        <v>26</v>
      </c>
      <c r="D9" s="36"/>
      <c r="E9" s="36"/>
      <c r="F9" s="37">
        <f>F10+F13+F22+F38+F48+F51+F35+F45</f>
        <v>85817.600000000006</v>
      </c>
      <c r="G9" s="37">
        <f>G10+G13+G22+G38+G48+G51+G35+G45</f>
        <v>82981.600000000006</v>
      </c>
      <c r="H9" s="37">
        <f>H10+H13+H22+H38+H48+H51+H35+H45</f>
        <v>82980.600000000006</v>
      </c>
    </row>
    <row r="10" spans="1:8" s="4" customFormat="1" ht="25.5" x14ac:dyDescent="0.2">
      <c r="A10" s="14" t="s">
        <v>27</v>
      </c>
      <c r="B10" s="11" t="s">
        <v>25</v>
      </c>
      <c r="C10" s="11" t="s">
        <v>28</v>
      </c>
      <c r="D10" s="11"/>
      <c r="E10" s="11"/>
      <c r="F10" s="12">
        <f t="shared" ref="F10:H11" si="0">F11</f>
        <v>1053.8</v>
      </c>
      <c r="G10" s="12">
        <f t="shared" si="0"/>
        <v>1053.8</v>
      </c>
      <c r="H10" s="12">
        <f t="shared" si="0"/>
        <v>1053.8</v>
      </c>
    </row>
    <row r="11" spans="1:8" ht="25.5" x14ac:dyDescent="0.2">
      <c r="A11" s="10" t="s">
        <v>164</v>
      </c>
      <c r="B11" s="8" t="s">
        <v>25</v>
      </c>
      <c r="C11" s="8" t="s">
        <v>28</v>
      </c>
      <c r="D11" s="8" t="s">
        <v>163</v>
      </c>
      <c r="E11" s="8"/>
      <c r="F11" s="9">
        <f t="shared" si="0"/>
        <v>1053.8</v>
      </c>
      <c r="G11" s="9">
        <f t="shared" si="0"/>
        <v>1053.8</v>
      </c>
      <c r="H11" s="9">
        <f t="shared" si="0"/>
        <v>1053.8</v>
      </c>
    </row>
    <row r="12" spans="1:8" s="27" customFormat="1" ht="51" x14ac:dyDescent="0.2">
      <c r="A12" s="23" t="s">
        <v>9</v>
      </c>
      <c r="B12" s="24" t="s">
        <v>25</v>
      </c>
      <c r="C12" s="24" t="s">
        <v>28</v>
      </c>
      <c r="D12" s="24" t="s">
        <v>163</v>
      </c>
      <c r="E12" s="25" t="s">
        <v>10</v>
      </c>
      <c r="F12" s="26">
        <f>771+50+232.8</f>
        <v>1053.8</v>
      </c>
      <c r="G12" s="26">
        <f t="shared" ref="G12:H12" si="1">771+50+232.8</f>
        <v>1053.8</v>
      </c>
      <c r="H12" s="26">
        <f t="shared" si="1"/>
        <v>1053.8</v>
      </c>
    </row>
    <row r="13" spans="1:8" s="27" customFormat="1" ht="38.25" x14ac:dyDescent="0.2">
      <c r="A13" s="14" t="s">
        <v>29</v>
      </c>
      <c r="B13" s="11" t="s">
        <v>25</v>
      </c>
      <c r="C13" s="11" t="s">
        <v>30</v>
      </c>
      <c r="D13" s="11"/>
      <c r="E13" s="11"/>
      <c r="F13" s="12">
        <f>F14+F18+F20</f>
        <v>6233.6</v>
      </c>
      <c r="G13" s="12">
        <f>G14+G18+G20</f>
        <v>6233.6</v>
      </c>
      <c r="H13" s="12">
        <f>H14+H18+H20</f>
        <v>6233.6</v>
      </c>
    </row>
    <row r="14" spans="1:8" x14ac:dyDescent="0.2">
      <c r="A14" s="10" t="s">
        <v>165</v>
      </c>
      <c r="B14" s="8" t="s">
        <v>25</v>
      </c>
      <c r="C14" s="8" t="s">
        <v>30</v>
      </c>
      <c r="D14" s="8" t="s">
        <v>166</v>
      </c>
      <c r="E14" s="8"/>
      <c r="F14" s="9">
        <f>F15+F16+F17</f>
        <v>2563.4</v>
      </c>
      <c r="G14" s="9">
        <f>G15+G16+G17</f>
        <v>2563.4</v>
      </c>
      <c r="H14" s="9">
        <f>H15+H16+H17</f>
        <v>2563.4</v>
      </c>
    </row>
    <row r="15" spans="1:8" s="27" customFormat="1" ht="51" x14ac:dyDescent="0.2">
      <c r="A15" s="23" t="s">
        <v>9</v>
      </c>
      <c r="B15" s="24" t="s">
        <v>25</v>
      </c>
      <c r="C15" s="24" t="s">
        <v>30</v>
      </c>
      <c r="D15" s="24" t="s">
        <v>166</v>
      </c>
      <c r="E15" s="25" t="s">
        <v>10</v>
      </c>
      <c r="F15" s="26">
        <v>2107.4</v>
      </c>
      <c r="G15" s="26">
        <v>2107.4</v>
      </c>
      <c r="H15" s="26">
        <v>2107.4</v>
      </c>
    </row>
    <row r="16" spans="1:8" s="4" customFormat="1" ht="25.5" x14ac:dyDescent="0.2">
      <c r="A16" s="28" t="s">
        <v>20</v>
      </c>
      <c r="B16" s="24" t="s">
        <v>25</v>
      </c>
      <c r="C16" s="24" t="s">
        <v>30</v>
      </c>
      <c r="D16" s="24" t="s">
        <v>166</v>
      </c>
      <c r="E16" s="25" t="s">
        <v>12</v>
      </c>
      <c r="F16" s="26">
        <v>453.9</v>
      </c>
      <c r="G16" s="26">
        <v>453.9</v>
      </c>
      <c r="H16" s="26">
        <v>453.9</v>
      </c>
    </row>
    <row r="17" spans="1:8" x14ac:dyDescent="0.2">
      <c r="A17" s="28" t="s">
        <v>16</v>
      </c>
      <c r="B17" s="24" t="s">
        <v>25</v>
      </c>
      <c r="C17" s="24" t="s">
        <v>30</v>
      </c>
      <c r="D17" s="24" t="s">
        <v>166</v>
      </c>
      <c r="E17" s="24" t="s">
        <v>17</v>
      </c>
      <c r="F17" s="26">
        <v>2.1</v>
      </c>
      <c r="G17" s="26">
        <v>2.1</v>
      </c>
      <c r="H17" s="26">
        <v>2.1</v>
      </c>
    </row>
    <row r="18" spans="1:8" s="27" customFormat="1" ht="25.5" x14ac:dyDescent="0.2">
      <c r="A18" s="10" t="s">
        <v>168</v>
      </c>
      <c r="B18" s="8" t="s">
        <v>25</v>
      </c>
      <c r="C18" s="8" t="s">
        <v>30</v>
      </c>
      <c r="D18" s="8" t="s">
        <v>167</v>
      </c>
      <c r="E18" s="8"/>
      <c r="F18" s="9">
        <f>F19</f>
        <v>1253.3</v>
      </c>
      <c r="G18" s="9">
        <f>G19</f>
        <v>1253.3</v>
      </c>
      <c r="H18" s="9">
        <f>H19</f>
        <v>1253.3</v>
      </c>
    </row>
    <row r="19" spans="1:8" s="7" customFormat="1" ht="51" x14ac:dyDescent="0.2">
      <c r="A19" s="23" t="s">
        <v>9</v>
      </c>
      <c r="B19" s="24" t="s">
        <v>25</v>
      </c>
      <c r="C19" s="24" t="s">
        <v>30</v>
      </c>
      <c r="D19" s="24" t="s">
        <v>167</v>
      </c>
      <c r="E19" s="25" t="s">
        <v>10</v>
      </c>
      <c r="F19" s="26">
        <v>1253.3</v>
      </c>
      <c r="G19" s="26">
        <v>1253.3</v>
      </c>
      <c r="H19" s="26">
        <v>1253.3</v>
      </c>
    </row>
    <row r="20" spans="1:8" s="47" customFormat="1" ht="25.5" x14ac:dyDescent="0.2">
      <c r="A20" s="10" t="s">
        <v>170</v>
      </c>
      <c r="B20" s="8" t="s">
        <v>25</v>
      </c>
      <c r="C20" s="8" t="s">
        <v>30</v>
      </c>
      <c r="D20" s="8" t="s">
        <v>169</v>
      </c>
      <c r="E20" s="8"/>
      <c r="F20" s="9">
        <f>F21</f>
        <v>2416.9</v>
      </c>
      <c r="G20" s="9">
        <f>G21</f>
        <v>2416.9</v>
      </c>
      <c r="H20" s="9">
        <f>H21</f>
        <v>2416.9</v>
      </c>
    </row>
    <row r="21" spans="1:8" ht="51" x14ac:dyDescent="0.2">
      <c r="A21" s="23" t="s">
        <v>9</v>
      </c>
      <c r="B21" s="24" t="s">
        <v>25</v>
      </c>
      <c r="C21" s="24" t="s">
        <v>30</v>
      </c>
      <c r="D21" s="24" t="s">
        <v>169</v>
      </c>
      <c r="E21" s="25" t="s">
        <v>10</v>
      </c>
      <c r="F21" s="26">
        <v>2416.9</v>
      </c>
      <c r="G21" s="26">
        <v>2416.9</v>
      </c>
      <c r="H21" s="26">
        <v>2416.9</v>
      </c>
    </row>
    <row r="22" spans="1:8" s="27" customFormat="1" ht="38.25" x14ac:dyDescent="0.2">
      <c r="A22" s="14" t="s">
        <v>31</v>
      </c>
      <c r="B22" s="11" t="s">
        <v>25</v>
      </c>
      <c r="C22" s="11" t="s">
        <v>32</v>
      </c>
      <c r="D22" s="11"/>
      <c r="E22" s="11"/>
      <c r="F22" s="12">
        <f>F23+F26+F28+F32</f>
        <v>39153.800000000003</v>
      </c>
      <c r="G22" s="12">
        <f>G23+G26+G28+G32</f>
        <v>37471.800000000003</v>
      </c>
      <c r="H22" s="12">
        <f>H23+H26+H28+H32</f>
        <v>37470.800000000003</v>
      </c>
    </row>
    <row r="23" spans="1:8" ht="25.5" x14ac:dyDescent="0.2">
      <c r="A23" s="10" t="s">
        <v>171</v>
      </c>
      <c r="B23" s="8" t="s">
        <v>25</v>
      </c>
      <c r="C23" s="8" t="s">
        <v>32</v>
      </c>
      <c r="D23" s="8" t="s">
        <v>90</v>
      </c>
      <c r="E23" s="8"/>
      <c r="F23" s="9">
        <f>F24+F25</f>
        <v>332</v>
      </c>
      <c r="G23" s="9">
        <f>G24+G25</f>
        <v>330</v>
      </c>
      <c r="H23" s="9">
        <f>H24+H25</f>
        <v>329</v>
      </c>
    </row>
    <row r="24" spans="1:8" s="27" customFormat="1" ht="51" x14ac:dyDescent="0.2">
      <c r="A24" s="23" t="s">
        <v>9</v>
      </c>
      <c r="B24" s="24" t="s">
        <v>25</v>
      </c>
      <c r="C24" s="24" t="s">
        <v>32</v>
      </c>
      <c r="D24" s="24" t="s">
        <v>90</v>
      </c>
      <c r="E24" s="25" t="s">
        <v>10</v>
      </c>
      <c r="F24" s="26">
        <f>303.7</f>
        <v>303.7</v>
      </c>
      <c r="G24" s="26">
        <f t="shared" ref="G24:H24" si="2">303.7</f>
        <v>303.7</v>
      </c>
      <c r="H24" s="26">
        <f t="shared" si="2"/>
        <v>303.7</v>
      </c>
    </row>
    <row r="25" spans="1:8" ht="25.5" x14ac:dyDescent="0.2">
      <c r="A25" s="28" t="s">
        <v>20</v>
      </c>
      <c r="B25" s="24" t="s">
        <v>25</v>
      </c>
      <c r="C25" s="24" t="s">
        <v>32</v>
      </c>
      <c r="D25" s="24" t="s">
        <v>90</v>
      </c>
      <c r="E25" s="25" t="s">
        <v>12</v>
      </c>
      <c r="F25" s="26">
        <f>28.3</f>
        <v>28.3</v>
      </c>
      <c r="G25" s="26">
        <f>26.3</f>
        <v>26.3</v>
      </c>
      <c r="H25" s="26">
        <f>25.3</f>
        <v>25.3</v>
      </c>
    </row>
    <row r="26" spans="1:8" s="27" customFormat="1" x14ac:dyDescent="0.2">
      <c r="A26" s="10" t="s">
        <v>172</v>
      </c>
      <c r="B26" s="8" t="s">
        <v>25</v>
      </c>
      <c r="C26" s="8" t="s">
        <v>32</v>
      </c>
      <c r="D26" s="8" t="s">
        <v>89</v>
      </c>
      <c r="E26" s="8"/>
      <c r="F26" s="9">
        <f>F27</f>
        <v>115</v>
      </c>
      <c r="G26" s="9">
        <f>G27</f>
        <v>115</v>
      </c>
      <c r="H26" s="9">
        <f>H27</f>
        <v>115</v>
      </c>
    </row>
    <row r="27" spans="1:8" s="27" customFormat="1" ht="51" x14ac:dyDescent="0.2">
      <c r="A27" s="23" t="s">
        <v>9</v>
      </c>
      <c r="B27" s="24" t="s">
        <v>25</v>
      </c>
      <c r="C27" s="24" t="s">
        <v>32</v>
      </c>
      <c r="D27" s="24" t="s">
        <v>89</v>
      </c>
      <c r="E27" s="25" t="s">
        <v>10</v>
      </c>
      <c r="F27" s="26">
        <f>115</f>
        <v>115</v>
      </c>
      <c r="G27" s="26">
        <f>115</f>
        <v>115</v>
      </c>
      <c r="H27" s="26">
        <f>115</f>
        <v>115</v>
      </c>
    </row>
    <row r="28" spans="1:8" s="22" customFormat="1" ht="26.25" x14ac:dyDescent="0.25">
      <c r="A28" s="10" t="s">
        <v>174</v>
      </c>
      <c r="B28" s="8" t="s">
        <v>25</v>
      </c>
      <c r="C28" s="8" t="s">
        <v>32</v>
      </c>
      <c r="D28" s="8" t="s">
        <v>173</v>
      </c>
      <c r="E28" s="8"/>
      <c r="F28" s="9">
        <f>F29+F30+F31</f>
        <v>36515.9</v>
      </c>
      <c r="G28" s="9">
        <f>G29+G30+G31</f>
        <v>34835.9</v>
      </c>
      <c r="H28" s="9">
        <f>H29+H30+H31</f>
        <v>34835.9</v>
      </c>
    </row>
    <row r="29" spans="1:8" s="4" customFormat="1" ht="51" x14ac:dyDescent="0.2">
      <c r="A29" s="23" t="s">
        <v>9</v>
      </c>
      <c r="B29" s="24" t="s">
        <v>25</v>
      </c>
      <c r="C29" s="24" t="s">
        <v>32</v>
      </c>
      <c r="D29" s="24" t="s">
        <v>173</v>
      </c>
      <c r="E29" s="25" t="s">
        <v>10</v>
      </c>
      <c r="F29" s="26">
        <f>16028.2+4840.6+100</f>
        <v>20968.800000000003</v>
      </c>
      <c r="G29" s="26">
        <f t="shared" ref="G29:H29" si="3">16028.2+4840.6+100</f>
        <v>20968.800000000003</v>
      </c>
      <c r="H29" s="26">
        <f t="shared" si="3"/>
        <v>20968.800000000003</v>
      </c>
    </row>
    <row r="30" spans="1:8" ht="25.5" x14ac:dyDescent="0.2">
      <c r="A30" s="28" t="s">
        <v>20</v>
      </c>
      <c r="B30" s="24" t="s">
        <v>25</v>
      </c>
      <c r="C30" s="24" t="s">
        <v>32</v>
      </c>
      <c r="D30" s="24" t="s">
        <v>173</v>
      </c>
      <c r="E30" s="25" t="s">
        <v>12</v>
      </c>
      <c r="F30" s="26">
        <v>15271.6</v>
      </c>
      <c r="G30" s="26">
        <v>13591.6</v>
      </c>
      <c r="H30" s="26">
        <v>13591.6</v>
      </c>
    </row>
    <row r="31" spans="1:8" s="27" customFormat="1" x14ac:dyDescent="0.2">
      <c r="A31" s="28" t="s">
        <v>16</v>
      </c>
      <c r="B31" s="24" t="s">
        <v>25</v>
      </c>
      <c r="C31" s="24" t="s">
        <v>32</v>
      </c>
      <c r="D31" s="24" t="s">
        <v>173</v>
      </c>
      <c r="E31" s="24" t="s">
        <v>17</v>
      </c>
      <c r="F31" s="26">
        <v>275.5</v>
      </c>
      <c r="G31" s="26">
        <v>275.5</v>
      </c>
      <c r="H31" s="26">
        <v>275.5</v>
      </c>
    </row>
    <row r="32" spans="1:8" s="21" customFormat="1" ht="25.5" x14ac:dyDescent="0.2">
      <c r="A32" s="10" t="s">
        <v>176</v>
      </c>
      <c r="B32" s="8" t="s">
        <v>25</v>
      </c>
      <c r="C32" s="8" t="s">
        <v>32</v>
      </c>
      <c r="D32" s="8" t="s">
        <v>175</v>
      </c>
      <c r="E32" s="8"/>
      <c r="F32" s="9">
        <f>F33+F34</f>
        <v>2190.9</v>
      </c>
      <c r="G32" s="9">
        <f>G33+G34</f>
        <v>2190.9</v>
      </c>
      <c r="H32" s="9">
        <f>H33+H34</f>
        <v>2190.9</v>
      </c>
    </row>
    <row r="33" spans="1:8" s="4" customFormat="1" ht="51" x14ac:dyDescent="0.2">
      <c r="A33" s="23" t="s">
        <v>9</v>
      </c>
      <c r="B33" s="24" t="s">
        <v>25</v>
      </c>
      <c r="C33" s="24" t="s">
        <v>32</v>
      </c>
      <c r="D33" s="8" t="s">
        <v>175</v>
      </c>
      <c r="E33" s="25" t="s">
        <v>10</v>
      </c>
      <c r="F33" s="26">
        <v>2011.8</v>
      </c>
      <c r="G33" s="26">
        <v>2011.8</v>
      </c>
      <c r="H33" s="26">
        <v>2011.8</v>
      </c>
    </row>
    <row r="34" spans="1:8" ht="25.5" x14ac:dyDescent="0.2">
      <c r="A34" s="28" t="s">
        <v>20</v>
      </c>
      <c r="B34" s="24" t="s">
        <v>25</v>
      </c>
      <c r="C34" s="24" t="s">
        <v>32</v>
      </c>
      <c r="D34" s="8" t="s">
        <v>175</v>
      </c>
      <c r="E34" s="25" t="s">
        <v>12</v>
      </c>
      <c r="F34" s="26">
        <v>179.1</v>
      </c>
      <c r="G34" s="26">
        <v>179.1</v>
      </c>
      <c r="H34" s="26">
        <v>179.1</v>
      </c>
    </row>
    <row r="35" spans="1:8" s="27" customFormat="1" x14ac:dyDescent="0.2">
      <c r="A35" s="14" t="s">
        <v>80</v>
      </c>
      <c r="B35" s="11" t="s">
        <v>25</v>
      </c>
      <c r="C35" s="11" t="s">
        <v>44</v>
      </c>
      <c r="D35" s="11"/>
      <c r="E35" s="11"/>
      <c r="F35" s="12">
        <f t="shared" ref="F35:H36" si="4">F36</f>
        <v>0</v>
      </c>
      <c r="G35" s="12">
        <f t="shared" si="4"/>
        <v>0</v>
      </c>
      <c r="H35" s="12">
        <f t="shared" si="4"/>
        <v>0</v>
      </c>
    </row>
    <row r="36" spans="1:8" ht="25.5" x14ac:dyDescent="0.2">
      <c r="A36" s="10" t="s">
        <v>177</v>
      </c>
      <c r="B36" s="8" t="s">
        <v>25</v>
      </c>
      <c r="C36" s="8" t="s">
        <v>44</v>
      </c>
      <c r="D36" s="8" t="s">
        <v>93</v>
      </c>
      <c r="E36" s="8"/>
      <c r="F36" s="9">
        <f t="shared" si="4"/>
        <v>0</v>
      </c>
      <c r="G36" s="9">
        <f t="shared" si="4"/>
        <v>0</v>
      </c>
      <c r="H36" s="9">
        <f t="shared" si="4"/>
        <v>0</v>
      </c>
    </row>
    <row r="37" spans="1:8" s="27" customFormat="1" ht="25.5" x14ac:dyDescent="0.2">
      <c r="A37" s="28" t="s">
        <v>20</v>
      </c>
      <c r="B37" s="24" t="s">
        <v>25</v>
      </c>
      <c r="C37" s="24" t="s">
        <v>44</v>
      </c>
      <c r="D37" s="24" t="s">
        <v>94</v>
      </c>
      <c r="E37" s="25" t="s">
        <v>12</v>
      </c>
      <c r="F37" s="26"/>
      <c r="G37" s="26"/>
      <c r="H37" s="26"/>
    </row>
    <row r="38" spans="1:8" s="21" customFormat="1" ht="38.25" x14ac:dyDescent="0.2">
      <c r="A38" s="14" t="s">
        <v>75</v>
      </c>
      <c r="B38" s="11" t="s">
        <v>25</v>
      </c>
      <c r="C38" s="11" t="s">
        <v>56</v>
      </c>
      <c r="D38" s="11"/>
      <c r="E38" s="11"/>
      <c r="F38" s="12">
        <f>F39+F43</f>
        <v>2029.9</v>
      </c>
      <c r="G38" s="12">
        <f>G39+G43</f>
        <v>2029.9</v>
      </c>
      <c r="H38" s="12">
        <f>H39+H43</f>
        <v>2029.9</v>
      </c>
    </row>
    <row r="39" spans="1:8" s="4" customFormat="1" ht="25.5" x14ac:dyDescent="0.2">
      <c r="A39" s="10" t="s">
        <v>73</v>
      </c>
      <c r="B39" s="8" t="s">
        <v>25</v>
      </c>
      <c r="C39" s="8" t="s">
        <v>56</v>
      </c>
      <c r="D39" s="8" t="s">
        <v>166</v>
      </c>
      <c r="E39" s="8"/>
      <c r="F39" s="9">
        <f>+F40+F41+F42</f>
        <v>1501.1</v>
      </c>
      <c r="G39" s="9">
        <f>+G40+G41+G42</f>
        <v>1501.1</v>
      </c>
      <c r="H39" s="9">
        <f>+H40+H41+H42</f>
        <v>1501.1</v>
      </c>
    </row>
    <row r="40" spans="1:8" ht="51" x14ac:dyDescent="0.2">
      <c r="A40" s="23" t="s">
        <v>9</v>
      </c>
      <c r="B40" s="24" t="s">
        <v>25</v>
      </c>
      <c r="C40" s="24" t="s">
        <v>56</v>
      </c>
      <c r="D40" s="24" t="s">
        <v>166</v>
      </c>
      <c r="E40" s="25" t="s">
        <v>10</v>
      </c>
      <c r="F40" s="26">
        <v>1181</v>
      </c>
      <c r="G40" s="26">
        <v>1181</v>
      </c>
      <c r="H40" s="26">
        <v>1181</v>
      </c>
    </row>
    <row r="41" spans="1:8" ht="25.5" x14ac:dyDescent="0.2">
      <c r="A41" s="28" t="s">
        <v>20</v>
      </c>
      <c r="B41" s="24" t="s">
        <v>25</v>
      </c>
      <c r="C41" s="24" t="s">
        <v>56</v>
      </c>
      <c r="D41" s="24" t="s">
        <v>166</v>
      </c>
      <c r="E41" s="25" t="s">
        <v>12</v>
      </c>
      <c r="F41" s="26">
        <v>319.5</v>
      </c>
      <c r="G41" s="26">
        <v>319.5</v>
      </c>
      <c r="H41" s="26">
        <v>319.5</v>
      </c>
    </row>
    <row r="42" spans="1:8" s="27" customFormat="1" x14ac:dyDescent="0.2">
      <c r="A42" s="28" t="s">
        <v>16</v>
      </c>
      <c r="B42" s="24" t="s">
        <v>25</v>
      </c>
      <c r="C42" s="24" t="s">
        <v>56</v>
      </c>
      <c r="D42" s="24" t="s">
        <v>166</v>
      </c>
      <c r="E42" s="24" t="s">
        <v>17</v>
      </c>
      <c r="F42" s="26">
        <v>0.6</v>
      </c>
      <c r="G42" s="26">
        <v>0.6</v>
      </c>
      <c r="H42" s="26">
        <v>0.6</v>
      </c>
    </row>
    <row r="43" spans="1:8" x14ac:dyDescent="0.2">
      <c r="A43" s="10" t="s">
        <v>179</v>
      </c>
      <c r="B43" s="8" t="s">
        <v>25</v>
      </c>
      <c r="C43" s="8" t="s">
        <v>56</v>
      </c>
      <c r="D43" s="8" t="s">
        <v>178</v>
      </c>
      <c r="E43" s="8"/>
      <c r="F43" s="9">
        <f>F44</f>
        <v>528.80000000000007</v>
      </c>
      <c r="G43" s="9">
        <f>G44</f>
        <v>528.80000000000007</v>
      </c>
      <c r="H43" s="9">
        <f>H44</f>
        <v>528.80000000000007</v>
      </c>
    </row>
    <row r="44" spans="1:8" s="27" customFormat="1" ht="51" x14ac:dyDescent="0.2">
      <c r="A44" s="23" t="s">
        <v>9</v>
      </c>
      <c r="B44" s="24" t="s">
        <v>25</v>
      </c>
      <c r="C44" s="24" t="s">
        <v>56</v>
      </c>
      <c r="D44" s="24" t="s">
        <v>178</v>
      </c>
      <c r="E44" s="25" t="s">
        <v>10</v>
      </c>
      <c r="F44" s="26">
        <f>406.1+122.7</f>
        <v>528.80000000000007</v>
      </c>
      <c r="G44" s="26">
        <f t="shared" ref="G44:H44" si="5">406.1+122.7</f>
        <v>528.80000000000007</v>
      </c>
      <c r="H44" s="26">
        <f t="shared" si="5"/>
        <v>528.80000000000007</v>
      </c>
    </row>
    <row r="45" spans="1:8" s="27" customFormat="1" x14ac:dyDescent="0.2">
      <c r="A45" s="14" t="s">
        <v>154</v>
      </c>
      <c r="B45" s="11" t="s">
        <v>25</v>
      </c>
      <c r="C45" s="11" t="s">
        <v>33</v>
      </c>
      <c r="D45" s="11"/>
      <c r="E45" s="11"/>
      <c r="F45" s="12">
        <f t="shared" ref="F45:H46" si="6">F46</f>
        <v>0</v>
      </c>
      <c r="G45" s="12">
        <f t="shared" si="6"/>
        <v>0</v>
      </c>
      <c r="H45" s="12">
        <f t="shared" si="6"/>
        <v>0</v>
      </c>
    </row>
    <row r="46" spans="1:8" ht="25.5" x14ac:dyDescent="0.2">
      <c r="A46" s="10" t="s">
        <v>182</v>
      </c>
      <c r="B46" s="8" t="s">
        <v>25</v>
      </c>
      <c r="C46" s="8" t="s">
        <v>33</v>
      </c>
      <c r="D46" s="8" t="s">
        <v>180</v>
      </c>
      <c r="E46" s="8"/>
      <c r="F46" s="9">
        <f t="shared" si="6"/>
        <v>0</v>
      </c>
      <c r="G46" s="9">
        <f t="shared" si="6"/>
        <v>0</v>
      </c>
      <c r="H46" s="9">
        <f t="shared" si="6"/>
        <v>0</v>
      </c>
    </row>
    <row r="47" spans="1:8" s="27" customFormat="1" ht="25.5" x14ac:dyDescent="0.2">
      <c r="A47" s="28" t="s">
        <v>20</v>
      </c>
      <c r="B47" s="24" t="s">
        <v>25</v>
      </c>
      <c r="C47" s="24" t="s">
        <v>33</v>
      </c>
      <c r="D47" s="24" t="s">
        <v>181</v>
      </c>
      <c r="E47" s="25" t="s">
        <v>12</v>
      </c>
      <c r="F47" s="26"/>
      <c r="G47" s="26"/>
      <c r="H47" s="26"/>
    </row>
    <row r="48" spans="1:8" x14ac:dyDescent="0.2">
      <c r="A48" s="14" t="s">
        <v>36</v>
      </c>
      <c r="B48" s="11" t="s">
        <v>25</v>
      </c>
      <c r="C48" s="11" t="s">
        <v>35</v>
      </c>
      <c r="D48" s="11"/>
      <c r="E48" s="11"/>
      <c r="F48" s="12">
        <f t="shared" ref="F48:H49" si="7">F49</f>
        <v>1024.8</v>
      </c>
      <c r="G48" s="12">
        <f t="shared" si="7"/>
        <v>1024.8</v>
      </c>
      <c r="H48" s="12">
        <f t="shared" si="7"/>
        <v>1024.8</v>
      </c>
    </row>
    <row r="49" spans="1:11" s="27" customFormat="1" ht="51" x14ac:dyDescent="0.2">
      <c r="A49" s="10" t="s">
        <v>74</v>
      </c>
      <c r="B49" s="8" t="s">
        <v>25</v>
      </c>
      <c r="C49" s="8" t="s">
        <v>35</v>
      </c>
      <c r="D49" s="8" t="s">
        <v>183</v>
      </c>
      <c r="E49" s="8"/>
      <c r="F49" s="9">
        <f t="shared" si="7"/>
        <v>1024.8</v>
      </c>
      <c r="G49" s="9">
        <f t="shared" si="7"/>
        <v>1024.8</v>
      </c>
      <c r="H49" s="9">
        <f t="shared" si="7"/>
        <v>1024.8</v>
      </c>
    </row>
    <row r="50" spans="1:11" x14ac:dyDescent="0.2">
      <c r="A50" s="28" t="s">
        <v>16</v>
      </c>
      <c r="B50" s="24" t="s">
        <v>25</v>
      </c>
      <c r="C50" s="24" t="s">
        <v>35</v>
      </c>
      <c r="D50" s="24" t="s">
        <v>183</v>
      </c>
      <c r="E50" s="24" t="s">
        <v>17</v>
      </c>
      <c r="F50" s="26">
        <f>1024.8</f>
        <v>1024.8</v>
      </c>
      <c r="G50" s="26">
        <f t="shared" ref="G50:H50" si="8">1024.8</f>
        <v>1024.8</v>
      </c>
      <c r="H50" s="26">
        <f t="shared" si="8"/>
        <v>1024.8</v>
      </c>
    </row>
    <row r="51" spans="1:11" s="27" customFormat="1" x14ac:dyDescent="0.2">
      <c r="A51" s="14" t="s">
        <v>38</v>
      </c>
      <c r="B51" s="11" t="s">
        <v>25</v>
      </c>
      <c r="C51" s="11" t="s">
        <v>67</v>
      </c>
      <c r="D51" s="11"/>
      <c r="E51" s="11"/>
      <c r="F51" s="12">
        <f>F54+F60+F62+F64+F66+F68+F70+F72+F76+F79+F81+F84+F88+F74+F91+F52+F56+F58</f>
        <v>36321.700000000004</v>
      </c>
      <c r="G51" s="12">
        <f t="shared" ref="G51:H51" si="9">G54+G60+G62+G64+G66+G68+G70+G72+G76+G79+G81+G84+G88+G74+G91+G52+G56+G58</f>
        <v>35167.700000000004</v>
      </c>
      <c r="H51" s="12">
        <f t="shared" si="9"/>
        <v>35167.700000000004</v>
      </c>
    </row>
    <row r="52" spans="1:11" ht="25.5" x14ac:dyDescent="0.2">
      <c r="A52" s="5" t="s">
        <v>184</v>
      </c>
      <c r="B52" s="8" t="s">
        <v>25</v>
      </c>
      <c r="C52" s="8" t="s">
        <v>67</v>
      </c>
      <c r="D52" s="8" t="s">
        <v>152</v>
      </c>
      <c r="E52" s="8"/>
      <c r="F52" s="9">
        <f>F53</f>
        <v>0</v>
      </c>
      <c r="G52" s="9">
        <f>G53</f>
        <v>0</v>
      </c>
      <c r="H52" s="9">
        <f>H53</f>
        <v>0</v>
      </c>
    </row>
    <row r="53" spans="1:11" s="27" customFormat="1" ht="25.5" x14ac:dyDescent="0.2">
      <c r="A53" s="28" t="s">
        <v>20</v>
      </c>
      <c r="B53" s="24" t="s">
        <v>25</v>
      </c>
      <c r="C53" s="24" t="s">
        <v>67</v>
      </c>
      <c r="D53" s="24" t="s">
        <v>153</v>
      </c>
      <c r="E53" s="24" t="s">
        <v>12</v>
      </c>
      <c r="F53" s="26"/>
      <c r="G53" s="26"/>
      <c r="H53" s="26"/>
      <c r="I53" s="13"/>
      <c r="J53" s="13"/>
      <c r="K53" s="13"/>
    </row>
    <row r="54" spans="1:11" s="27" customFormat="1" x14ac:dyDescent="0.2">
      <c r="A54" s="10" t="s">
        <v>185</v>
      </c>
      <c r="B54" s="8" t="s">
        <v>25</v>
      </c>
      <c r="C54" s="8" t="s">
        <v>67</v>
      </c>
      <c r="D54" s="8" t="s">
        <v>186</v>
      </c>
      <c r="E54" s="8"/>
      <c r="F54" s="9">
        <f>F55</f>
        <v>11161.7</v>
      </c>
      <c r="G54" s="9">
        <f>G55</f>
        <v>11161.7</v>
      </c>
      <c r="H54" s="9">
        <f>H55</f>
        <v>11161.7</v>
      </c>
    </row>
    <row r="55" spans="1:11" s="27" customFormat="1" ht="25.5" x14ac:dyDescent="0.2">
      <c r="A55" s="28" t="s">
        <v>286</v>
      </c>
      <c r="B55" s="24" t="s">
        <v>25</v>
      </c>
      <c r="C55" s="24" t="s">
        <v>67</v>
      </c>
      <c r="D55" s="24" t="s">
        <v>186</v>
      </c>
      <c r="E55" s="24" t="s">
        <v>8</v>
      </c>
      <c r="F55" s="26">
        <f>10957.1+204.6</f>
        <v>11161.7</v>
      </c>
      <c r="G55" s="26">
        <f t="shared" ref="G55:H55" si="10">10957.1+204.6</f>
        <v>11161.7</v>
      </c>
      <c r="H55" s="26">
        <f t="shared" si="10"/>
        <v>11161.7</v>
      </c>
    </row>
    <row r="56" spans="1:11" ht="25.5" x14ac:dyDescent="0.2">
      <c r="A56" s="5" t="s">
        <v>219</v>
      </c>
      <c r="B56" s="8" t="s">
        <v>25</v>
      </c>
      <c r="C56" s="8" t="s">
        <v>67</v>
      </c>
      <c r="D56" s="8" t="s">
        <v>218</v>
      </c>
      <c r="E56" s="1"/>
      <c r="F56" s="2">
        <f>F57</f>
        <v>108.3</v>
      </c>
      <c r="G56" s="2">
        <f>G57</f>
        <v>108.3</v>
      </c>
      <c r="H56" s="2">
        <f>H57</f>
        <v>108.3</v>
      </c>
    </row>
    <row r="57" spans="1:11" ht="25.5" x14ac:dyDescent="0.2">
      <c r="A57" s="28" t="s">
        <v>286</v>
      </c>
      <c r="B57" s="24" t="s">
        <v>25</v>
      </c>
      <c r="C57" s="24" t="s">
        <v>67</v>
      </c>
      <c r="D57" s="8" t="s">
        <v>218</v>
      </c>
      <c r="E57" s="24" t="s">
        <v>8</v>
      </c>
      <c r="F57" s="26">
        <f>67+41.3</f>
        <v>108.3</v>
      </c>
      <c r="G57" s="26">
        <f>67+41.3</f>
        <v>108.3</v>
      </c>
      <c r="H57" s="26">
        <f>67+41.3</f>
        <v>108.3</v>
      </c>
    </row>
    <row r="58" spans="1:11" x14ac:dyDescent="0.2">
      <c r="A58" s="10" t="s">
        <v>273</v>
      </c>
      <c r="B58" s="8" t="s">
        <v>25</v>
      </c>
      <c r="C58" s="8" t="s">
        <v>67</v>
      </c>
      <c r="D58" s="8" t="s">
        <v>272</v>
      </c>
      <c r="E58" s="8"/>
      <c r="F58" s="9">
        <f>F59</f>
        <v>1153.9000000000001</v>
      </c>
      <c r="G58" s="9">
        <f t="shared" ref="G58:H58" si="11">G59</f>
        <v>0</v>
      </c>
      <c r="H58" s="9">
        <f t="shared" si="11"/>
        <v>0</v>
      </c>
    </row>
    <row r="59" spans="1:11" ht="25.5" x14ac:dyDescent="0.2">
      <c r="A59" s="28" t="s">
        <v>78</v>
      </c>
      <c r="B59" s="24" t="s">
        <v>25</v>
      </c>
      <c r="C59" s="24" t="s">
        <v>67</v>
      </c>
      <c r="D59" s="8" t="s">
        <v>272</v>
      </c>
      <c r="E59" s="24" t="s">
        <v>15</v>
      </c>
      <c r="F59" s="26">
        <v>1153.9000000000001</v>
      </c>
      <c r="G59" s="26">
        <v>0</v>
      </c>
      <c r="H59" s="26">
        <v>0</v>
      </c>
    </row>
    <row r="60" spans="1:11" ht="38.25" x14ac:dyDescent="0.2">
      <c r="A60" s="10" t="s">
        <v>187</v>
      </c>
      <c r="B60" s="8" t="s">
        <v>25</v>
      </c>
      <c r="C60" s="8" t="s">
        <v>67</v>
      </c>
      <c r="D60" s="8" t="s">
        <v>88</v>
      </c>
      <c r="E60" s="8"/>
      <c r="F60" s="9">
        <f>F61</f>
        <v>120</v>
      </c>
      <c r="G60" s="9">
        <f>G61</f>
        <v>120</v>
      </c>
      <c r="H60" s="9">
        <f>H61</f>
        <v>120</v>
      </c>
    </row>
    <row r="61" spans="1:11" s="27" customFormat="1" ht="25.5" x14ac:dyDescent="0.2">
      <c r="A61" s="28" t="s">
        <v>286</v>
      </c>
      <c r="B61" s="24" t="s">
        <v>25</v>
      </c>
      <c r="C61" s="24" t="s">
        <v>67</v>
      </c>
      <c r="D61" s="24" t="s">
        <v>88</v>
      </c>
      <c r="E61" s="24" t="s">
        <v>8</v>
      </c>
      <c r="F61" s="26">
        <f>120</f>
        <v>120</v>
      </c>
      <c r="G61" s="26">
        <f>120</f>
        <v>120</v>
      </c>
      <c r="H61" s="26">
        <f>120</f>
        <v>120</v>
      </c>
    </row>
    <row r="62" spans="1:11" s="27" customFormat="1" ht="25.5" x14ac:dyDescent="0.2">
      <c r="A62" s="48" t="s">
        <v>188</v>
      </c>
      <c r="B62" s="6" t="s">
        <v>25</v>
      </c>
      <c r="C62" s="8" t="s">
        <v>67</v>
      </c>
      <c r="D62" s="1" t="s">
        <v>189</v>
      </c>
      <c r="E62" s="1"/>
      <c r="F62" s="2">
        <f>F63</f>
        <v>2888.2</v>
      </c>
      <c r="G62" s="2">
        <f>G63</f>
        <v>2888.2</v>
      </c>
      <c r="H62" s="2">
        <f>H63</f>
        <v>2888.2</v>
      </c>
    </row>
    <row r="63" spans="1:11" s="27" customFormat="1" ht="25.5" x14ac:dyDescent="0.2">
      <c r="A63" s="28" t="s">
        <v>286</v>
      </c>
      <c r="B63" s="24" t="s">
        <v>25</v>
      </c>
      <c r="C63" s="24" t="s">
        <v>67</v>
      </c>
      <c r="D63" s="24" t="s">
        <v>189</v>
      </c>
      <c r="E63" s="24" t="s">
        <v>8</v>
      </c>
      <c r="F63" s="26">
        <v>2888.2</v>
      </c>
      <c r="G63" s="26">
        <v>2888.2</v>
      </c>
      <c r="H63" s="26">
        <v>2888.2</v>
      </c>
      <c r="I63" s="13"/>
      <c r="J63" s="13"/>
      <c r="K63" s="13"/>
    </row>
    <row r="64" spans="1:11" ht="25.5" x14ac:dyDescent="0.2">
      <c r="A64" s="5" t="s">
        <v>191</v>
      </c>
      <c r="B64" s="8" t="s">
        <v>25</v>
      </c>
      <c r="C64" s="8" t="s">
        <v>67</v>
      </c>
      <c r="D64" s="8" t="s">
        <v>190</v>
      </c>
      <c r="E64" s="8"/>
      <c r="F64" s="9">
        <f>F65</f>
        <v>720</v>
      </c>
      <c r="G64" s="9">
        <f>G65</f>
        <v>720</v>
      </c>
      <c r="H64" s="9">
        <f>H65</f>
        <v>720</v>
      </c>
    </row>
    <row r="65" spans="1:11" s="27" customFormat="1" x14ac:dyDescent="0.2">
      <c r="A65" s="28" t="s">
        <v>13</v>
      </c>
      <c r="B65" s="24" t="s">
        <v>25</v>
      </c>
      <c r="C65" s="24" t="s">
        <v>67</v>
      </c>
      <c r="D65" s="24" t="s">
        <v>190</v>
      </c>
      <c r="E65" s="24" t="s">
        <v>14</v>
      </c>
      <c r="F65" s="26">
        <f>720</f>
        <v>720</v>
      </c>
      <c r="G65" s="26">
        <f>720</f>
        <v>720</v>
      </c>
      <c r="H65" s="26">
        <f>720</f>
        <v>720</v>
      </c>
      <c r="I65" s="13"/>
      <c r="J65" s="13"/>
      <c r="K65" s="13"/>
    </row>
    <row r="66" spans="1:11" x14ac:dyDescent="0.2">
      <c r="A66" s="10" t="s">
        <v>193</v>
      </c>
      <c r="B66" s="8" t="s">
        <v>25</v>
      </c>
      <c r="C66" s="8" t="s">
        <v>67</v>
      </c>
      <c r="D66" s="8" t="s">
        <v>192</v>
      </c>
      <c r="E66" s="8"/>
      <c r="F66" s="9">
        <f>F67</f>
        <v>1720.7</v>
      </c>
      <c r="G66" s="9">
        <f>G67</f>
        <v>1720.7</v>
      </c>
      <c r="H66" s="9">
        <f>H67</f>
        <v>1720.7</v>
      </c>
    </row>
    <row r="67" spans="1:11" s="27" customFormat="1" x14ac:dyDescent="0.2">
      <c r="A67" s="28" t="s">
        <v>13</v>
      </c>
      <c r="B67" s="24" t="s">
        <v>25</v>
      </c>
      <c r="C67" s="24" t="s">
        <v>67</v>
      </c>
      <c r="D67" s="24" t="s">
        <v>192</v>
      </c>
      <c r="E67" s="24" t="s">
        <v>14</v>
      </c>
      <c r="F67" s="26">
        <f>123.8+1596.9</f>
        <v>1720.7</v>
      </c>
      <c r="G67" s="26">
        <f>73.5+1647.2</f>
        <v>1720.7</v>
      </c>
      <c r="H67" s="26">
        <f>73.5+1647.2</f>
        <v>1720.7</v>
      </c>
      <c r="I67" s="13"/>
      <c r="J67" s="13"/>
      <c r="K67" s="13"/>
    </row>
    <row r="68" spans="1:11" s="4" customFormat="1" x14ac:dyDescent="0.2">
      <c r="A68" s="10" t="s">
        <v>195</v>
      </c>
      <c r="B68" s="8" t="s">
        <v>25</v>
      </c>
      <c r="C68" s="8" t="s">
        <v>67</v>
      </c>
      <c r="D68" s="8" t="s">
        <v>194</v>
      </c>
      <c r="E68" s="8"/>
      <c r="F68" s="9">
        <f>F69</f>
        <v>4910.8</v>
      </c>
      <c r="G68" s="9">
        <f>G69</f>
        <v>4910.7</v>
      </c>
      <c r="H68" s="9">
        <f>H69</f>
        <v>4910.7</v>
      </c>
    </row>
    <row r="69" spans="1:11" s="3" customFormat="1" x14ac:dyDescent="0.2">
      <c r="A69" s="28" t="s">
        <v>16</v>
      </c>
      <c r="B69" s="24" t="s">
        <v>25</v>
      </c>
      <c r="C69" s="24" t="s">
        <v>67</v>
      </c>
      <c r="D69" s="24" t="s">
        <v>194</v>
      </c>
      <c r="E69" s="24" t="s">
        <v>17</v>
      </c>
      <c r="F69" s="26">
        <f>4910.7+0.1</f>
        <v>4910.8</v>
      </c>
      <c r="G69" s="26">
        <f t="shared" ref="G69:H69" si="12">4910.7</f>
        <v>4910.7</v>
      </c>
      <c r="H69" s="26">
        <f t="shared" si="12"/>
        <v>4910.7</v>
      </c>
    </row>
    <row r="70" spans="1:11" s="3" customFormat="1" ht="52.5" customHeight="1" x14ac:dyDescent="0.2">
      <c r="A70" s="10" t="s">
        <v>196</v>
      </c>
      <c r="B70" s="8" t="s">
        <v>25</v>
      </c>
      <c r="C70" s="8" t="s">
        <v>67</v>
      </c>
      <c r="D70" s="1" t="s">
        <v>197</v>
      </c>
      <c r="E70" s="1"/>
      <c r="F70" s="2">
        <f>F71</f>
        <v>700</v>
      </c>
      <c r="G70" s="2">
        <f>G71</f>
        <v>700</v>
      </c>
      <c r="H70" s="2">
        <f>H71</f>
        <v>700</v>
      </c>
    </row>
    <row r="71" spans="1:11" s="3" customFormat="1" ht="25.5" x14ac:dyDescent="0.2">
      <c r="A71" s="28" t="s">
        <v>20</v>
      </c>
      <c r="B71" s="24" t="s">
        <v>25</v>
      </c>
      <c r="C71" s="24" t="s">
        <v>67</v>
      </c>
      <c r="D71" s="24" t="s">
        <v>197</v>
      </c>
      <c r="E71" s="25" t="s">
        <v>12</v>
      </c>
      <c r="F71" s="26">
        <v>700</v>
      </c>
      <c r="G71" s="26">
        <v>700</v>
      </c>
      <c r="H71" s="26">
        <v>700</v>
      </c>
    </row>
    <row r="72" spans="1:11" s="3" customFormat="1" x14ac:dyDescent="0.2">
      <c r="A72" s="10" t="s">
        <v>199</v>
      </c>
      <c r="B72" s="8" t="s">
        <v>25</v>
      </c>
      <c r="C72" s="8" t="s">
        <v>67</v>
      </c>
      <c r="D72" s="1" t="s">
        <v>198</v>
      </c>
      <c r="E72" s="1"/>
      <c r="F72" s="2">
        <f>F73</f>
        <v>1000</v>
      </c>
      <c r="G72" s="2">
        <f>G73</f>
        <v>1000</v>
      </c>
      <c r="H72" s="2">
        <f>H73</f>
        <v>1000</v>
      </c>
    </row>
    <row r="73" spans="1:11" s="3" customFormat="1" ht="25.5" x14ac:dyDescent="0.2">
      <c r="A73" s="28" t="s">
        <v>20</v>
      </c>
      <c r="B73" s="24" t="s">
        <v>25</v>
      </c>
      <c r="C73" s="24" t="s">
        <v>67</v>
      </c>
      <c r="D73" s="24" t="s">
        <v>198</v>
      </c>
      <c r="E73" s="25" t="s">
        <v>12</v>
      </c>
      <c r="F73" s="26">
        <v>1000</v>
      </c>
      <c r="G73" s="26">
        <v>1000</v>
      </c>
      <c r="H73" s="26">
        <v>1000</v>
      </c>
    </row>
    <row r="74" spans="1:11" s="3" customFormat="1" ht="25.5" x14ac:dyDescent="0.2">
      <c r="A74" s="10" t="s">
        <v>201</v>
      </c>
      <c r="B74" s="8" t="s">
        <v>25</v>
      </c>
      <c r="C74" s="8" t="s">
        <v>67</v>
      </c>
      <c r="D74" s="8" t="s">
        <v>200</v>
      </c>
      <c r="E74" s="8"/>
      <c r="F74" s="9">
        <f>F75</f>
        <v>451</v>
      </c>
      <c r="G74" s="9">
        <f>G75</f>
        <v>451</v>
      </c>
      <c r="H74" s="9">
        <f>H75</f>
        <v>451</v>
      </c>
    </row>
    <row r="75" spans="1:11" s="4" customFormat="1" ht="25.5" x14ac:dyDescent="0.2">
      <c r="A75" s="28" t="s">
        <v>20</v>
      </c>
      <c r="B75" s="24" t="s">
        <v>25</v>
      </c>
      <c r="C75" s="24" t="s">
        <v>67</v>
      </c>
      <c r="D75" s="24" t="s">
        <v>200</v>
      </c>
      <c r="E75" s="25" t="s">
        <v>12</v>
      </c>
      <c r="F75" s="26">
        <v>451</v>
      </c>
      <c r="G75" s="26">
        <v>451</v>
      </c>
      <c r="H75" s="26">
        <v>451</v>
      </c>
    </row>
    <row r="76" spans="1:11" s="7" customFormat="1" x14ac:dyDescent="0.2">
      <c r="A76" s="10" t="s">
        <v>203</v>
      </c>
      <c r="B76" s="8" t="s">
        <v>25</v>
      </c>
      <c r="C76" s="8" t="s">
        <v>67</v>
      </c>
      <c r="D76" s="1" t="s">
        <v>202</v>
      </c>
      <c r="E76" s="1"/>
      <c r="F76" s="2">
        <f>F78+F77</f>
        <v>150</v>
      </c>
      <c r="G76" s="2">
        <f t="shared" ref="G76:H76" si="13">G78+G77</f>
        <v>150</v>
      </c>
      <c r="H76" s="2">
        <f t="shared" si="13"/>
        <v>150</v>
      </c>
    </row>
    <row r="77" spans="1:11" s="27" customFormat="1" ht="25.5" x14ac:dyDescent="0.2">
      <c r="A77" s="28" t="s">
        <v>20</v>
      </c>
      <c r="B77" s="24" t="s">
        <v>25</v>
      </c>
      <c r="C77" s="24" t="s">
        <v>67</v>
      </c>
      <c r="D77" s="24" t="s">
        <v>202</v>
      </c>
      <c r="E77" s="25" t="s">
        <v>12</v>
      </c>
      <c r="F77" s="26">
        <v>50</v>
      </c>
      <c r="G77" s="26">
        <v>50</v>
      </c>
      <c r="H77" s="26">
        <v>50</v>
      </c>
    </row>
    <row r="78" spans="1:11" s="27" customFormat="1" x14ac:dyDescent="0.2">
      <c r="A78" s="28" t="s">
        <v>16</v>
      </c>
      <c r="B78" s="24" t="s">
        <v>25</v>
      </c>
      <c r="C78" s="24" t="s">
        <v>67</v>
      </c>
      <c r="D78" s="24" t="s">
        <v>202</v>
      </c>
      <c r="E78" s="25" t="s">
        <v>17</v>
      </c>
      <c r="F78" s="26">
        <v>100</v>
      </c>
      <c r="G78" s="26">
        <v>100</v>
      </c>
      <c r="H78" s="26">
        <v>100</v>
      </c>
    </row>
    <row r="79" spans="1:11" s="7" customFormat="1" x14ac:dyDescent="0.2">
      <c r="A79" s="10" t="s">
        <v>204</v>
      </c>
      <c r="B79" s="8" t="s">
        <v>25</v>
      </c>
      <c r="C79" s="8" t="s">
        <v>67</v>
      </c>
      <c r="D79" s="1" t="s">
        <v>205</v>
      </c>
      <c r="E79" s="1"/>
      <c r="F79" s="2">
        <f>F80</f>
        <v>500</v>
      </c>
      <c r="G79" s="2">
        <f>G80</f>
        <v>500</v>
      </c>
      <c r="H79" s="2">
        <f>H80</f>
        <v>500</v>
      </c>
    </row>
    <row r="80" spans="1:11" s="27" customFormat="1" ht="25.5" x14ac:dyDescent="0.2">
      <c r="A80" s="28" t="s">
        <v>20</v>
      </c>
      <c r="B80" s="24" t="s">
        <v>25</v>
      </c>
      <c r="C80" s="24" t="s">
        <v>67</v>
      </c>
      <c r="D80" s="24" t="s">
        <v>205</v>
      </c>
      <c r="E80" s="25" t="s">
        <v>12</v>
      </c>
      <c r="F80" s="26">
        <v>500</v>
      </c>
      <c r="G80" s="26">
        <v>500</v>
      </c>
      <c r="H80" s="26">
        <v>500</v>
      </c>
    </row>
    <row r="81" spans="1:11" s="21" customFormat="1" ht="15" x14ac:dyDescent="0.2">
      <c r="A81" s="10" t="s">
        <v>206</v>
      </c>
      <c r="B81" s="8" t="s">
        <v>25</v>
      </c>
      <c r="C81" s="8" t="s">
        <v>67</v>
      </c>
      <c r="D81" s="1" t="s">
        <v>207</v>
      </c>
      <c r="E81" s="1"/>
      <c r="F81" s="2">
        <f>F82+F83</f>
        <v>903</v>
      </c>
      <c r="G81" s="2">
        <f>G82+G83</f>
        <v>903</v>
      </c>
      <c r="H81" s="2">
        <f>H82+H83</f>
        <v>903</v>
      </c>
    </row>
    <row r="82" spans="1:11" s="27" customFormat="1" ht="25.5" x14ac:dyDescent="0.2">
      <c r="A82" s="28" t="s">
        <v>20</v>
      </c>
      <c r="B82" s="24" t="s">
        <v>25</v>
      </c>
      <c r="C82" s="24" t="s">
        <v>67</v>
      </c>
      <c r="D82" s="24" t="s">
        <v>207</v>
      </c>
      <c r="E82" s="25" t="s">
        <v>12</v>
      </c>
      <c r="F82" s="26">
        <v>50</v>
      </c>
      <c r="G82" s="26">
        <v>50</v>
      </c>
      <c r="H82" s="26">
        <v>50</v>
      </c>
    </row>
    <row r="83" spans="1:11" s="4" customFormat="1" x14ac:dyDescent="0.2">
      <c r="A83" s="28" t="s">
        <v>16</v>
      </c>
      <c r="B83" s="8" t="s">
        <v>25</v>
      </c>
      <c r="C83" s="8" t="s">
        <v>67</v>
      </c>
      <c r="D83" s="24" t="s">
        <v>207</v>
      </c>
      <c r="E83" s="24" t="s">
        <v>17</v>
      </c>
      <c r="F83" s="26">
        <v>853</v>
      </c>
      <c r="G83" s="26">
        <v>853</v>
      </c>
      <c r="H83" s="26">
        <v>853</v>
      </c>
    </row>
    <row r="84" spans="1:11" ht="25.5" x14ac:dyDescent="0.2">
      <c r="A84" s="10" t="s">
        <v>208</v>
      </c>
      <c r="B84" s="8" t="s">
        <v>25</v>
      </c>
      <c r="C84" s="8" t="s">
        <v>67</v>
      </c>
      <c r="D84" s="1" t="s">
        <v>209</v>
      </c>
      <c r="E84" s="8"/>
      <c r="F84" s="9">
        <f>F85+F86+F87</f>
        <v>5010.1000000000004</v>
      </c>
      <c r="G84" s="9">
        <f>G85+G86+G87</f>
        <v>5010.1000000000004</v>
      </c>
      <c r="H84" s="9">
        <f>H85+H86+H87</f>
        <v>5010.1000000000004</v>
      </c>
    </row>
    <row r="85" spans="1:11" s="27" customFormat="1" ht="51" x14ac:dyDescent="0.2">
      <c r="A85" s="23" t="s">
        <v>9</v>
      </c>
      <c r="B85" s="24" t="s">
        <v>25</v>
      </c>
      <c r="C85" s="24" t="s">
        <v>67</v>
      </c>
      <c r="D85" s="24" t="s">
        <v>209</v>
      </c>
      <c r="E85" s="25" t="s">
        <v>10</v>
      </c>
      <c r="F85" s="26">
        <v>4565.3</v>
      </c>
      <c r="G85" s="26">
        <v>4565.3</v>
      </c>
      <c r="H85" s="26">
        <v>4565.3</v>
      </c>
      <c r="I85" s="13"/>
      <c r="J85" s="13"/>
      <c r="K85" s="13"/>
    </row>
    <row r="86" spans="1:11" s="27" customFormat="1" ht="25.5" x14ac:dyDescent="0.2">
      <c r="A86" s="28" t="s">
        <v>20</v>
      </c>
      <c r="B86" s="24" t="s">
        <v>25</v>
      </c>
      <c r="C86" s="24" t="s">
        <v>67</v>
      </c>
      <c r="D86" s="24" t="s">
        <v>209</v>
      </c>
      <c r="E86" s="25" t="s">
        <v>12</v>
      </c>
      <c r="F86" s="26">
        <v>434.8</v>
      </c>
      <c r="G86" s="26">
        <v>434.8</v>
      </c>
      <c r="H86" s="26">
        <v>434.8</v>
      </c>
    </row>
    <row r="87" spans="1:11" s="27" customFormat="1" x14ac:dyDescent="0.2">
      <c r="A87" s="28" t="s">
        <v>16</v>
      </c>
      <c r="B87" s="8" t="s">
        <v>25</v>
      </c>
      <c r="C87" s="8" t="s">
        <v>67</v>
      </c>
      <c r="D87" s="24" t="s">
        <v>209</v>
      </c>
      <c r="E87" s="24" t="s">
        <v>17</v>
      </c>
      <c r="F87" s="26">
        <v>10</v>
      </c>
      <c r="G87" s="26">
        <v>10</v>
      </c>
      <c r="H87" s="26">
        <v>10</v>
      </c>
    </row>
    <row r="88" spans="1:11" s="27" customFormat="1" ht="89.25" x14ac:dyDescent="0.2">
      <c r="A88" s="42" t="s">
        <v>212</v>
      </c>
      <c r="B88" s="8" t="s">
        <v>25</v>
      </c>
      <c r="C88" s="8" t="s">
        <v>67</v>
      </c>
      <c r="D88" s="8" t="s">
        <v>210</v>
      </c>
      <c r="E88" s="8"/>
      <c r="F88" s="9">
        <f>F89+F90</f>
        <v>4589.6000000000004</v>
      </c>
      <c r="G88" s="9">
        <f>G89+G90</f>
        <v>4589.6000000000004</v>
      </c>
      <c r="H88" s="9">
        <f>H89+H90</f>
        <v>4589.6000000000004</v>
      </c>
    </row>
    <row r="89" spans="1:11" s="27" customFormat="1" ht="51" x14ac:dyDescent="0.2">
      <c r="A89" s="23" t="s">
        <v>9</v>
      </c>
      <c r="B89" s="24" t="s">
        <v>25</v>
      </c>
      <c r="C89" s="24" t="s">
        <v>67</v>
      </c>
      <c r="D89" s="24" t="s">
        <v>210</v>
      </c>
      <c r="E89" s="25" t="s">
        <v>10</v>
      </c>
      <c r="F89" s="26">
        <f>3482.6+1051.7</f>
        <v>4534.3</v>
      </c>
      <c r="G89" s="26">
        <f t="shared" ref="G89:H89" si="14">3482.6+1051.7</f>
        <v>4534.3</v>
      </c>
      <c r="H89" s="26">
        <f t="shared" si="14"/>
        <v>4534.3</v>
      </c>
    </row>
    <row r="90" spans="1:11" ht="25.5" x14ac:dyDescent="0.2">
      <c r="A90" s="28" t="s">
        <v>20</v>
      </c>
      <c r="B90" s="24" t="s">
        <v>25</v>
      </c>
      <c r="C90" s="24" t="s">
        <v>67</v>
      </c>
      <c r="D90" s="24" t="s">
        <v>210</v>
      </c>
      <c r="E90" s="25" t="s">
        <v>12</v>
      </c>
      <c r="F90" s="26">
        <f>55.3</f>
        <v>55.3</v>
      </c>
      <c r="G90" s="26">
        <f t="shared" ref="G90:H90" si="15">55.3</f>
        <v>55.3</v>
      </c>
      <c r="H90" s="26">
        <f t="shared" si="15"/>
        <v>55.3</v>
      </c>
    </row>
    <row r="91" spans="1:11" s="27" customFormat="1" ht="51" x14ac:dyDescent="0.2">
      <c r="A91" s="42" t="s">
        <v>213</v>
      </c>
      <c r="B91" s="8" t="s">
        <v>25</v>
      </c>
      <c r="C91" s="8" t="s">
        <v>67</v>
      </c>
      <c r="D91" s="8" t="s">
        <v>211</v>
      </c>
      <c r="E91" s="8"/>
      <c r="F91" s="9">
        <f>F92</f>
        <v>234.4</v>
      </c>
      <c r="G91" s="9">
        <f>G92</f>
        <v>234.4</v>
      </c>
      <c r="H91" s="9">
        <f>H92</f>
        <v>234.4</v>
      </c>
    </row>
    <row r="92" spans="1:11" ht="25.5" x14ac:dyDescent="0.2">
      <c r="A92" s="28" t="s">
        <v>20</v>
      </c>
      <c r="B92" s="24" t="s">
        <v>25</v>
      </c>
      <c r="C92" s="24" t="s">
        <v>67</v>
      </c>
      <c r="D92" s="24" t="s">
        <v>211</v>
      </c>
      <c r="E92" s="25" t="s">
        <v>12</v>
      </c>
      <c r="F92" s="26">
        <f>234.4</f>
        <v>234.4</v>
      </c>
      <c r="G92" s="26">
        <f t="shared" ref="G92:H92" si="16">234.4</f>
        <v>234.4</v>
      </c>
      <c r="H92" s="26">
        <f t="shared" si="16"/>
        <v>234.4</v>
      </c>
    </row>
    <row r="93" spans="1:11" s="27" customFormat="1" ht="31.5" x14ac:dyDescent="0.25">
      <c r="A93" s="38" t="s">
        <v>5</v>
      </c>
      <c r="B93" s="36" t="s">
        <v>30</v>
      </c>
      <c r="C93" s="36" t="s">
        <v>26</v>
      </c>
      <c r="D93" s="36"/>
      <c r="E93" s="36"/>
      <c r="F93" s="37">
        <f>F94</f>
        <v>4159.3999999999996</v>
      </c>
      <c r="G93" s="37">
        <f>G94</f>
        <v>4159.3999999999996</v>
      </c>
      <c r="H93" s="37">
        <f>H94</f>
        <v>4159.3999999999996</v>
      </c>
    </row>
    <row r="94" spans="1:11" s="27" customFormat="1" ht="38.25" x14ac:dyDescent="0.2">
      <c r="A94" s="14" t="s">
        <v>21</v>
      </c>
      <c r="B94" s="49" t="s">
        <v>30</v>
      </c>
      <c r="C94" s="11" t="s">
        <v>39</v>
      </c>
      <c r="D94" s="11"/>
      <c r="E94" s="11"/>
      <c r="F94" s="12">
        <f>F101+F95+F103+F105+F107+F99</f>
        <v>4159.3999999999996</v>
      </c>
      <c r="G94" s="12">
        <f t="shared" ref="G94:H94" si="17">G101+G95+G103+G105+G107+G99</f>
        <v>4159.3999999999996</v>
      </c>
      <c r="H94" s="12">
        <f t="shared" si="17"/>
        <v>4159.3999999999996</v>
      </c>
    </row>
    <row r="95" spans="1:11" s="27" customFormat="1" ht="38.25" x14ac:dyDescent="0.2">
      <c r="A95" s="42" t="s">
        <v>214</v>
      </c>
      <c r="B95" s="8" t="s">
        <v>30</v>
      </c>
      <c r="C95" s="8" t="s">
        <v>39</v>
      </c>
      <c r="D95" s="8" t="s">
        <v>215</v>
      </c>
      <c r="E95" s="8"/>
      <c r="F95" s="9">
        <f>F96+F97+F98</f>
        <v>2509</v>
      </c>
      <c r="G95" s="9">
        <f>G96+G97+G98</f>
        <v>2509</v>
      </c>
      <c r="H95" s="9">
        <f>H96+H97+H98</f>
        <v>2509</v>
      </c>
    </row>
    <row r="96" spans="1:11" ht="51" x14ac:dyDescent="0.2">
      <c r="A96" s="23" t="s">
        <v>9</v>
      </c>
      <c r="B96" s="24" t="s">
        <v>30</v>
      </c>
      <c r="C96" s="24" t="s">
        <v>39</v>
      </c>
      <c r="D96" s="24" t="s">
        <v>215</v>
      </c>
      <c r="E96" s="25" t="s">
        <v>10</v>
      </c>
      <c r="F96" s="26">
        <f>2118.5</f>
        <v>2118.5</v>
      </c>
      <c r="G96" s="26">
        <f t="shared" ref="G96:H96" si="18">2118.5</f>
        <v>2118.5</v>
      </c>
      <c r="H96" s="26">
        <f t="shared" si="18"/>
        <v>2118.5</v>
      </c>
    </row>
    <row r="97" spans="1:8" s="27" customFormat="1" ht="25.5" x14ac:dyDescent="0.2">
      <c r="A97" s="28" t="s">
        <v>20</v>
      </c>
      <c r="B97" s="24" t="s">
        <v>30</v>
      </c>
      <c r="C97" s="24" t="s">
        <v>39</v>
      </c>
      <c r="D97" s="24" t="s">
        <v>215</v>
      </c>
      <c r="E97" s="25" t="s">
        <v>12</v>
      </c>
      <c r="F97" s="26">
        <v>386.6</v>
      </c>
      <c r="G97" s="26">
        <v>386.6</v>
      </c>
      <c r="H97" s="26">
        <v>386.6</v>
      </c>
    </row>
    <row r="98" spans="1:8" s="4" customFormat="1" x14ac:dyDescent="0.2">
      <c r="A98" s="28" t="s">
        <v>16</v>
      </c>
      <c r="B98" s="24" t="s">
        <v>30</v>
      </c>
      <c r="C98" s="24" t="s">
        <v>39</v>
      </c>
      <c r="D98" s="24" t="s">
        <v>215</v>
      </c>
      <c r="E98" s="24" t="s">
        <v>17</v>
      </c>
      <c r="F98" s="26">
        <v>3.9</v>
      </c>
      <c r="G98" s="26">
        <v>3.9</v>
      </c>
      <c r="H98" s="26">
        <v>3.9</v>
      </c>
    </row>
    <row r="99" spans="1:8" s="27" customFormat="1" x14ac:dyDescent="0.2">
      <c r="A99" s="55" t="s">
        <v>217</v>
      </c>
      <c r="B99" s="8" t="s">
        <v>30</v>
      </c>
      <c r="C99" s="8" t="s">
        <v>39</v>
      </c>
      <c r="D99" s="8" t="s">
        <v>216</v>
      </c>
      <c r="E99" s="8"/>
      <c r="F99" s="9">
        <f>F100</f>
        <v>0</v>
      </c>
      <c r="G99" s="9">
        <f>G100</f>
        <v>0</v>
      </c>
      <c r="H99" s="9">
        <f>H100</f>
        <v>0</v>
      </c>
    </row>
    <row r="100" spans="1:8" s="27" customFormat="1" ht="25.5" x14ac:dyDescent="0.2">
      <c r="A100" s="28" t="s">
        <v>20</v>
      </c>
      <c r="B100" s="24" t="s">
        <v>30</v>
      </c>
      <c r="C100" s="24" t="s">
        <v>39</v>
      </c>
      <c r="D100" s="24" t="s">
        <v>216</v>
      </c>
      <c r="E100" s="25" t="s">
        <v>12</v>
      </c>
      <c r="F100" s="26"/>
      <c r="G100" s="26"/>
      <c r="H100" s="26"/>
    </row>
    <row r="101" spans="1:8" s="27" customFormat="1" x14ac:dyDescent="0.2">
      <c r="A101" s="55" t="s">
        <v>448</v>
      </c>
      <c r="B101" s="8" t="s">
        <v>30</v>
      </c>
      <c r="C101" s="8" t="s">
        <v>39</v>
      </c>
      <c r="D101" s="8" t="s">
        <v>447</v>
      </c>
      <c r="E101" s="8"/>
      <c r="F101" s="9">
        <f>F102</f>
        <v>1529.4</v>
      </c>
      <c r="G101" s="9">
        <f>G102</f>
        <v>1529.4</v>
      </c>
      <c r="H101" s="9">
        <f>H102</f>
        <v>1529.4</v>
      </c>
    </row>
    <row r="102" spans="1:8" s="27" customFormat="1" ht="25.5" x14ac:dyDescent="0.2">
      <c r="A102" s="28" t="s">
        <v>286</v>
      </c>
      <c r="B102" s="24" t="s">
        <v>30</v>
      </c>
      <c r="C102" s="24" t="s">
        <v>39</v>
      </c>
      <c r="D102" s="24" t="s">
        <v>447</v>
      </c>
      <c r="E102" s="25" t="s">
        <v>8</v>
      </c>
      <c r="F102" s="26">
        <f>1529.4</f>
        <v>1529.4</v>
      </c>
      <c r="G102" s="26">
        <f t="shared" ref="G102:H102" si="19">1529.4</f>
        <v>1529.4</v>
      </c>
      <c r="H102" s="26">
        <f t="shared" si="19"/>
        <v>1529.4</v>
      </c>
    </row>
    <row r="103" spans="1:8" ht="25.5" x14ac:dyDescent="0.2">
      <c r="A103" s="5" t="s">
        <v>219</v>
      </c>
      <c r="B103" s="8" t="s">
        <v>30</v>
      </c>
      <c r="C103" s="8" t="s">
        <v>39</v>
      </c>
      <c r="D103" s="8" t="s">
        <v>218</v>
      </c>
      <c r="E103" s="1"/>
      <c r="F103" s="2">
        <f>F104</f>
        <v>1</v>
      </c>
      <c r="G103" s="2">
        <f>G104</f>
        <v>1</v>
      </c>
      <c r="H103" s="2">
        <f>H104</f>
        <v>1</v>
      </c>
    </row>
    <row r="104" spans="1:8" s="4" customFormat="1" ht="25.5" x14ac:dyDescent="0.2">
      <c r="A104" s="28" t="s">
        <v>20</v>
      </c>
      <c r="B104" s="24" t="s">
        <v>30</v>
      </c>
      <c r="C104" s="24" t="s">
        <v>39</v>
      </c>
      <c r="D104" s="24" t="s">
        <v>218</v>
      </c>
      <c r="E104" s="25" t="s">
        <v>12</v>
      </c>
      <c r="F104" s="26">
        <v>1</v>
      </c>
      <c r="G104" s="26">
        <v>1</v>
      </c>
      <c r="H104" s="26">
        <v>1</v>
      </c>
    </row>
    <row r="105" spans="1:8" x14ac:dyDescent="0.2">
      <c r="A105" s="5" t="s">
        <v>221</v>
      </c>
      <c r="B105" s="8" t="s">
        <v>30</v>
      </c>
      <c r="C105" s="8" t="s">
        <v>39</v>
      </c>
      <c r="D105" s="8" t="s">
        <v>220</v>
      </c>
      <c r="E105" s="1"/>
      <c r="F105" s="2">
        <f>F106</f>
        <v>87</v>
      </c>
      <c r="G105" s="2">
        <f>G106</f>
        <v>87</v>
      </c>
      <c r="H105" s="2">
        <f>H106</f>
        <v>87</v>
      </c>
    </row>
    <row r="106" spans="1:8" s="27" customFormat="1" ht="25.5" x14ac:dyDescent="0.2">
      <c r="A106" s="28" t="s">
        <v>20</v>
      </c>
      <c r="B106" s="24" t="s">
        <v>30</v>
      </c>
      <c r="C106" s="24" t="s">
        <v>39</v>
      </c>
      <c r="D106" s="24" t="s">
        <v>220</v>
      </c>
      <c r="E106" s="25" t="s">
        <v>12</v>
      </c>
      <c r="F106" s="26">
        <v>87</v>
      </c>
      <c r="G106" s="26">
        <v>87</v>
      </c>
      <c r="H106" s="26">
        <v>87</v>
      </c>
    </row>
    <row r="107" spans="1:8" ht="25.5" x14ac:dyDescent="0.2">
      <c r="A107" s="5" t="s">
        <v>223</v>
      </c>
      <c r="B107" s="8" t="s">
        <v>30</v>
      </c>
      <c r="C107" s="8" t="s">
        <v>39</v>
      </c>
      <c r="D107" s="8" t="s">
        <v>222</v>
      </c>
      <c r="E107" s="1"/>
      <c r="F107" s="2">
        <f>F108</f>
        <v>33</v>
      </c>
      <c r="G107" s="2">
        <f>G108</f>
        <v>33</v>
      </c>
      <c r="H107" s="2">
        <f>H108</f>
        <v>33</v>
      </c>
    </row>
    <row r="108" spans="1:8" s="27" customFormat="1" x14ac:dyDescent="0.2">
      <c r="A108" s="28" t="s">
        <v>13</v>
      </c>
      <c r="B108" s="24" t="s">
        <v>30</v>
      </c>
      <c r="C108" s="24" t="s">
        <v>39</v>
      </c>
      <c r="D108" s="8" t="s">
        <v>222</v>
      </c>
      <c r="E108" s="25" t="s">
        <v>14</v>
      </c>
      <c r="F108" s="26">
        <v>33</v>
      </c>
      <c r="G108" s="26">
        <v>33</v>
      </c>
      <c r="H108" s="26">
        <v>33</v>
      </c>
    </row>
    <row r="109" spans="1:8" ht="15.75" x14ac:dyDescent="0.25">
      <c r="A109" s="38" t="s">
        <v>40</v>
      </c>
      <c r="B109" s="36" t="s">
        <v>32</v>
      </c>
      <c r="C109" s="36" t="s">
        <v>26</v>
      </c>
      <c r="D109" s="36"/>
      <c r="E109" s="36"/>
      <c r="F109" s="37">
        <f>F110+F115+F122</f>
        <v>482643.5</v>
      </c>
      <c r="G109" s="37">
        <f>G110+G115+G122</f>
        <v>316864.09999999998</v>
      </c>
      <c r="H109" s="37">
        <f>H110+H115+H122</f>
        <v>366085.00000000006</v>
      </c>
    </row>
    <row r="110" spans="1:8" s="4" customFormat="1" x14ac:dyDescent="0.2">
      <c r="A110" s="14" t="s">
        <v>41</v>
      </c>
      <c r="B110" s="11" t="s">
        <v>32</v>
      </c>
      <c r="C110" s="11" t="s">
        <v>28</v>
      </c>
      <c r="D110" s="11"/>
      <c r="E110" s="11"/>
      <c r="F110" s="12">
        <f>F111+F113</f>
        <v>398817.1</v>
      </c>
      <c r="G110" s="12">
        <f>G111+G113</f>
        <v>233037.69999999998</v>
      </c>
      <c r="H110" s="12">
        <f>H111+H113</f>
        <v>282258.60000000003</v>
      </c>
    </row>
    <row r="111" spans="1:8" ht="25.5" x14ac:dyDescent="0.2">
      <c r="A111" s="10" t="s">
        <v>224</v>
      </c>
      <c r="B111" s="8" t="s">
        <v>32</v>
      </c>
      <c r="C111" s="8" t="s">
        <v>28</v>
      </c>
      <c r="D111" s="8" t="s">
        <v>92</v>
      </c>
      <c r="E111" s="8"/>
      <c r="F111" s="9">
        <f>F112</f>
        <v>355565.8</v>
      </c>
      <c r="G111" s="9">
        <f>G112</f>
        <v>193848.3</v>
      </c>
      <c r="H111" s="9">
        <f>H112</f>
        <v>247540.7</v>
      </c>
    </row>
    <row r="112" spans="1:8" s="27" customFormat="1" x14ac:dyDescent="0.2">
      <c r="A112" s="28" t="s">
        <v>13</v>
      </c>
      <c r="B112" s="24" t="s">
        <v>32</v>
      </c>
      <c r="C112" s="24" t="s">
        <v>28</v>
      </c>
      <c r="D112" s="24" t="s">
        <v>92</v>
      </c>
      <c r="E112" s="24" t="s">
        <v>14</v>
      </c>
      <c r="F112" s="26">
        <v>355565.8</v>
      </c>
      <c r="G112" s="26">
        <v>193848.3</v>
      </c>
      <c r="H112" s="26">
        <v>247540.7</v>
      </c>
    </row>
    <row r="113" spans="1:15" s="27" customFormat="1" ht="38.25" x14ac:dyDescent="0.2">
      <c r="A113" s="10" t="s">
        <v>225</v>
      </c>
      <c r="B113" s="8" t="s">
        <v>32</v>
      </c>
      <c r="C113" s="8" t="s">
        <v>28</v>
      </c>
      <c r="D113" s="8" t="s">
        <v>226</v>
      </c>
      <c r="E113" s="8"/>
      <c r="F113" s="9">
        <f>F114</f>
        <v>43251.3</v>
      </c>
      <c r="G113" s="9">
        <f>G114</f>
        <v>39189.4</v>
      </c>
      <c r="H113" s="9">
        <f>H114</f>
        <v>34717.9</v>
      </c>
    </row>
    <row r="114" spans="1:15" s="27" customFormat="1" x14ac:dyDescent="0.2">
      <c r="A114" s="28" t="s">
        <v>16</v>
      </c>
      <c r="B114" s="24" t="s">
        <v>32</v>
      </c>
      <c r="C114" s="24" t="s">
        <v>28</v>
      </c>
      <c r="D114" s="24" t="s">
        <v>226</v>
      </c>
      <c r="E114" s="24" t="s">
        <v>17</v>
      </c>
      <c r="F114" s="26">
        <f>43251.3</f>
        <v>43251.3</v>
      </c>
      <c r="G114" s="26">
        <f>43251.3-4061.9</f>
        <v>39189.4</v>
      </c>
      <c r="H114" s="26">
        <f>43251.3-8533.4</f>
        <v>34717.9</v>
      </c>
    </row>
    <row r="115" spans="1:15" x14ac:dyDescent="0.2">
      <c r="A115" s="14" t="s">
        <v>71</v>
      </c>
      <c r="B115" s="11" t="s">
        <v>32</v>
      </c>
      <c r="C115" s="11" t="s">
        <v>39</v>
      </c>
      <c r="D115" s="11"/>
      <c r="E115" s="11"/>
      <c r="F115" s="12">
        <f>F116+F120+F118</f>
        <v>81955.5</v>
      </c>
      <c r="G115" s="12">
        <f>G116+G120+G118</f>
        <v>81955.5</v>
      </c>
      <c r="H115" s="12">
        <f>H116+H120+H118</f>
        <v>81955.5</v>
      </c>
    </row>
    <row r="116" spans="1:15" s="4" customFormat="1" ht="25.5" x14ac:dyDescent="0.2">
      <c r="A116" s="10" t="s">
        <v>227</v>
      </c>
      <c r="B116" s="8" t="s">
        <v>32</v>
      </c>
      <c r="C116" s="8" t="s">
        <v>39</v>
      </c>
      <c r="D116" s="8" t="s">
        <v>228</v>
      </c>
      <c r="E116" s="8"/>
      <c r="F116" s="9">
        <f>F117</f>
        <v>75347.199999999997</v>
      </c>
      <c r="G116" s="9">
        <f>G117</f>
        <v>75347.199999999997</v>
      </c>
      <c r="H116" s="9">
        <f>H117</f>
        <v>75347.199999999997</v>
      </c>
    </row>
    <row r="117" spans="1:15" ht="25.5" x14ac:dyDescent="0.2">
      <c r="A117" s="28" t="s">
        <v>286</v>
      </c>
      <c r="B117" s="24" t="s">
        <v>32</v>
      </c>
      <c r="C117" s="24" t="s">
        <v>39</v>
      </c>
      <c r="D117" s="24" t="s">
        <v>228</v>
      </c>
      <c r="E117" s="24" t="s">
        <v>8</v>
      </c>
      <c r="F117" s="26">
        <v>75347.199999999997</v>
      </c>
      <c r="G117" s="26">
        <v>75347.199999999997</v>
      </c>
      <c r="H117" s="26">
        <v>75347.199999999997</v>
      </c>
    </row>
    <row r="118" spans="1:15" ht="25.5" x14ac:dyDescent="0.2">
      <c r="A118" s="10" t="s">
        <v>229</v>
      </c>
      <c r="B118" s="8" t="s">
        <v>32</v>
      </c>
      <c r="C118" s="8" t="s">
        <v>39</v>
      </c>
      <c r="D118" s="8" t="s">
        <v>230</v>
      </c>
      <c r="E118" s="8"/>
      <c r="F118" s="9">
        <f>F119</f>
        <v>6117</v>
      </c>
      <c r="G118" s="9">
        <f>G119</f>
        <v>6117</v>
      </c>
      <c r="H118" s="9">
        <f>H119</f>
        <v>6117</v>
      </c>
    </row>
    <row r="119" spans="1:15" ht="25.5" x14ac:dyDescent="0.2">
      <c r="A119" s="28" t="s">
        <v>286</v>
      </c>
      <c r="B119" s="24" t="s">
        <v>32</v>
      </c>
      <c r="C119" s="24" t="s">
        <v>39</v>
      </c>
      <c r="D119" s="24" t="s">
        <v>230</v>
      </c>
      <c r="E119" s="24" t="s">
        <v>8</v>
      </c>
      <c r="F119" s="26">
        <v>6117</v>
      </c>
      <c r="G119" s="26">
        <v>6117</v>
      </c>
      <c r="H119" s="26">
        <v>6117</v>
      </c>
    </row>
    <row r="120" spans="1:15" ht="25.5" x14ac:dyDescent="0.2">
      <c r="A120" s="10" t="s">
        <v>231</v>
      </c>
      <c r="B120" s="8" t="s">
        <v>32</v>
      </c>
      <c r="C120" s="8" t="s">
        <v>39</v>
      </c>
      <c r="D120" s="8" t="s">
        <v>232</v>
      </c>
      <c r="E120" s="8"/>
      <c r="F120" s="9">
        <f>F121</f>
        <v>491.3</v>
      </c>
      <c r="G120" s="9">
        <f>G121</f>
        <v>491.3</v>
      </c>
      <c r="H120" s="9">
        <f>H121</f>
        <v>491.3</v>
      </c>
      <c r="N120" s="27"/>
      <c r="O120" s="27"/>
    </row>
    <row r="121" spans="1:15" s="27" customFormat="1" ht="25.5" x14ac:dyDescent="0.2">
      <c r="A121" s="28" t="s">
        <v>286</v>
      </c>
      <c r="B121" s="24" t="s">
        <v>32</v>
      </c>
      <c r="C121" s="24" t="s">
        <v>39</v>
      </c>
      <c r="D121" s="24" t="s">
        <v>232</v>
      </c>
      <c r="E121" s="24" t="s">
        <v>8</v>
      </c>
      <c r="F121" s="26">
        <v>491.3</v>
      </c>
      <c r="G121" s="26">
        <v>491.3</v>
      </c>
      <c r="H121" s="26">
        <v>491.3</v>
      </c>
      <c r="I121" s="13"/>
      <c r="J121" s="13"/>
      <c r="K121" s="13"/>
      <c r="L121" s="13"/>
      <c r="M121" s="13"/>
      <c r="N121" s="13"/>
      <c r="O121" s="13"/>
    </row>
    <row r="122" spans="1:15" s="27" customFormat="1" x14ac:dyDescent="0.2">
      <c r="A122" s="14" t="s">
        <v>42</v>
      </c>
      <c r="B122" s="11" t="s">
        <v>32</v>
      </c>
      <c r="C122" s="11" t="s">
        <v>37</v>
      </c>
      <c r="D122" s="11"/>
      <c r="E122" s="11"/>
      <c r="F122" s="12">
        <f>F125+F127+F129+F123+F147+F150+F153+F156+F131+F133+F135+F137+F139+F141+F143+F145</f>
        <v>1870.9</v>
      </c>
      <c r="G122" s="12">
        <f>G125+G127+G129+G123+G147+G150+G153+G156+G131+G133+G135+G137+G139+G141+G143+G145</f>
        <v>1870.9</v>
      </c>
      <c r="H122" s="12">
        <f>H125+H127+H129+H123+H147+H150+H153+H156+H131+H133+H135+H137+H139+H141+H143+H145</f>
        <v>1870.9</v>
      </c>
    </row>
    <row r="123" spans="1:15" s="27" customFormat="1" ht="25.5" x14ac:dyDescent="0.2">
      <c r="A123" s="10" t="s">
        <v>234</v>
      </c>
      <c r="B123" s="8" t="s">
        <v>32</v>
      </c>
      <c r="C123" s="8" t="s">
        <v>37</v>
      </c>
      <c r="D123" s="8" t="s">
        <v>233</v>
      </c>
      <c r="E123" s="8"/>
      <c r="F123" s="9">
        <f>F124</f>
        <v>75</v>
      </c>
      <c r="G123" s="9">
        <f>G124</f>
        <v>75</v>
      </c>
      <c r="H123" s="9">
        <f>H124</f>
        <v>75</v>
      </c>
    </row>
    <row r="124" spans="1:15" s="27" customFormat="1" ht="25.5" x14ac:dyDescent="0.2">
      <c r="A124" s="28" t="s">
        <v>20</v>
      </c>
      <c r="B124" s="24" t="s">
        <v>32</v>
      </c>
      <c r="C124" s="24" t="s">
        <v>37</v>
      </c>
      <c r="D124" s="24" t="s">
        <v>233</v>
      </c>
      <c r="E124" s="25" t="s">
        <v>12</v>
      </c>
      <c r="F124" s="26">
        <v>75</v>
      </c>
      <c r="G124" s="26">
        <v>75</v>
      </c>
      <c r="H124" s="26">
        <v>75</v>
      </c>
    </row>
    <row r="125" spans="1:15" s="27" customFormat="1" ht="25.5" x14ac:dyDescent="0.2">
      <c r="A125" s="10" t="s">
        <v>235</v>
      </c>
      <c r="B125" s="8" t="s">
        <v>32</v>
      </c>
      <c r="C125" s="8" t="s">
        <v>37</v>
      </c>
      <c r="D125" s="8" t="s">
        <v>142</v>
      </c>
      <c r="E125" s="8"/>
      <c r="F125" s="9">
        <f>F126</f>
        <v>95.9</v>
      </c>
      <c r="G125" s="9">
        <f>G126</f>
        <v>95.9</v>
      </c>
      <c r="H125" s="9">
        <f>H126</f>
        <v>95.9</v>
      </c>
      <c r="I125" s="13"/>
      <c r="J125" s="13"/>
      <c r="K125" s="13"/>
    </row>
    <row r="126" spans="1:15" x14ac:dyDescent="0.2">
      <c r="A126" s="28" t="s">
        <v>16</v>
      </c>
      <c r="B126" s="24" t="s">
        <v>32</v>
      </c>
      <c r="C126" s="24" t="s">
        <v>37</v>
      </c>
      <c r="D126" s="24" t="s">
        <v>142</v>
      </c>
      <c r="E126" s="24" t="s">
        <v>17</v>
      </c>
      <c r="F126" s="26">
        <v>95.9</v>
      </c>
      <c r="G126" s="26">
        <v>95.9</v>
      </c>
      <c r="H126" s="26">
        <v>95.9</v>
      </c>
    </row>
    <row r="127" spans="1:15" s="4" customFormat="1" x14ac:dyDescent="0.2">
      <c r="A127" s="10" t="s">
        <v>237</v>
      </c>
      <c r="B127" s="8" t="s">
        <v>32</v>
      </c>
      <c r="C127" s="8" t="s">
        <v>37</v>
      </c>
      <c r="D127" s="8" t="s">
        <v>236</v>
      </c>
      <c r="E127" s="8"/>
      <c r="F127" s="9">
        <f>F128</f>
        <v>1000</v>
      </c>
      <c r="G127" s="9">
        <f>G128</f>
        <v>1000</v>
      </c>
      <c r="H127" s="9">
        <f>H128</f>
        <v>1000</v>
      </c>
    </row>
    <row r="128" spans="1:15" ht="25.5" x14ac:dyDescent="0.2">
      <c r="A128" s="28" t="s">
        <v>20</v>
      </c>
      <c r="B128" s="24" t="s">
        <v>32</v>
      </c>
      <c r="C128" s="24" t="s">
        <v>37</v>
      </c>
      <c r="D128" s="24" t="s">
        <v>236</v>
      </c>
      <c r="E128" s="25" t="s">
        <v>12</v>
      </c>
      <c r="F128" s="26">
        <v>1000</v>
      </c>
      <c r="G128" s="26">
        <v>1000</v>
      </c>
      <c r="H128" s="26">
        <v>1000</v>
      </c>
    </row>
    <row r="129" spans="1:8" s="27" customFormat="1" ht="38.25" x14ac:dyDescent="0.2">
      <c r="A129" s="10" t="s">
        <v>239</v>
      </c>
      <c r="B129" s="8" t="s">
        <v>32</v>
      </c>
      <c r="C129" s="8" t="s">
        <v>37</v>
      </c>
      <c r="D129" s="8" t="s">
        <v>238</v>
      </c>
      <c r="E129" s="8"/>
      <c r="F129" s="9">
        <f>F130</f>
        <v>700</v>
      </c>
      <c r="G129" s="9">
        <f>G130</f>
        <v>700</v>
      </c>
      <c r="H129" s="9">
        <f>H130</f>
        <v>700</v>
      </c>
    </row>
    <row r="130" spans="1:8" s="4" customFormat="1" ht="25.5" x14ac:dyDescent="0.2">
      <c r="A130" s="28" t="s">
        <v>20</v>
      </c>
      <c r="B130" s="24" t="s">
        <v>32</v>
      </c>
      <c r="C130" s="24" t="s">
        <v>37</v>
      </c>
      <c r="D130" s="24" t="s">
        <v>238</v>
      </c>
      <c r="E130" s="25" t="s">
        <v>12</v>
      </c>
      <c r="F130" s="26">
        <v>700</v>
      </c>
      <c r="G130" s="26">
        <v>700</v>
      </c>
      <c r="H130" s="26">
        <v>700</v>
      </c>
    </row>
    <row r="131" spans="1:8" s="54" customFormat="1" ht="63.75" x14ac:dyDescent="0.2">
      <c r="A131" s="10" t="s">
        <v>240</v>
      </c>
      <c r="B131" s="8" t="s">
        <v>32</v>
      </c>
      <c r="C131" s="8" t="s">
        <v>37</v>
      </c>
      <c r="D131" s="8" t="s">
        <v>241</v>
      </c>
      <c r="E131" s="8"/>
      <c r="F131" s="9">
        <f>F132</f>
        <v>0</v>
      </c>
      <c r="G131" s="9">
        <f>G132</f>
        <v>0</v>
      </c>
      <c r="H131" s="9">
        <f>H132</f>
        <v>0</v>
      </c>
    </row>
    <row r="132" spans="1:8" s="56" customFormat="1" ht="25.5" x14ac:dyDescent="0.2">
      <c r="A132" s="28" t="s">
        <v>78</v>
      </c>
      <c r="B132" s="24" t="s">
        <v>32</v>
      </c>
      <c r="C132" s="24" t="s">
        <v>37</v>
      </c>
      <c r="D132" s="24" t="s">
        <v>241</v>
      </c>
      <c r="E132" s="24" t="s">
        <v>15</v>
      </c>
      <c r="F132" s="26"/>
      <c r="G132" s="26"/>
      <c r="H132" s="26"/>
    </row>
    <row r="133" spans="1:8" s="54" customFormat="1" ht="102" x14ac:dyDescent="0.2">
      <c r="A133" s="10" t="s">
        <v>243</v>
      </c>
      <c r="B133" s="8" t="s">
        <v>32</v>
      </c>
      <c r="C133" s="8" t="s">
        <v>37</v>
      </c>
      <c r="D133" s="8" t="s">
        <v>242</v>
      </c>
      <c r="E133" s="8"/>
      <c r="F133" s="9">
        <f>F134</f>
        <v>0</v>
      </c>
      <c r="G133" s="9">
        <f>G134</f>
        <v>0</v>
      </c>
      <c r="H133" s="9">
        <f>H134</f>
        <v>0</v>
      </c>
    </row>
    <row r="134" spans="1:8" s="56" customFormat="1" ht="25.5" x14ac:dyDescent="0.2">
      <c r="A134" s="28" t="s">
        <v>78</v>
      </c>
      <c r="B134" s="24" t="s">
        <v>32</v>
      </c>
      <c r="C134" s="24" t="s">
        <v>37</v>
      </c>
      <c r="D134" s="24" t="s">
        <v>242</v>
      </c>
      <c r="E134" s="24" t="s">
        <v>15</v>
      </c>
      <c r="F134" s="26"/>
      <c r="G134" s="26"/>
      <c r="H134" s="26"/>
    </row>
    <row r="135" spans="1:8" s="54" customFormat="1" ht="76.5" x14ac:dyDescent="0.2">
      <c r="A135" s="10" t="s">
        <v>245</v>
      </c>
      <c r="B135" s="8" t="s">
        <v>32</v>
      </c>
      <c r="C135" s="8" t="s">
        <v>37</v>
      </c>
      <c r="D135" s="8" t="s">
        <v>244</v>
      </c>
      <c r="E135" s="8"/>
      <c r="F135" s="9">
        <f>F136</f>
        <v>0</v>
      </c>
      <c r="G135" s="9">
        <f>G136</f>
        <v>0</v>
      </c>
      <c r="H135" s="9">
        <f>H136</f>
        <v>0</v>
      </c>
    </row>
    <row r="136" spans="1:8" s="56" customFormat="1" ht="25.5" x14ac:dyDescent="0.2">
      <c r="A136" s="28" t="s">
        <v>78</v>
      </c>
      <c r="B136" s="24" t="s">
        <v>32</v>
      </c>
      <c r="C136" s="24" t="s">
        <v>37</v>
      </c>
      <c r="D136" s="24" t="s">
        <v>244</v>
      </c>
      <c r="E136" s="24" t="s">
        <v>15</v>
      </c>
      <c r="F136" s="26"/>
      <c r="G136" s="26"/>
      <c r="H136" s="26"/>
    </row>
    <row r="137" spans="1:8" s="54" customFormat="1" ht="51" x14ac:dyDescent="0.2">
      <c r="A137" s="10" t="s">
        <v>247</v>
      </c>
      <c r="B137" s="8" t="s">
        <v>32</v>
      </c>
      <c r="C137" s="8" t="s">
        <v>37</v>
      </c>
      <c r="D137" s="8" t="s">
        <v>246</v>
      </c>
      <c r="E137" s="8"/>
      <c r="F137" s="9">
        <f>F138</f>
        <v>0</v>
      </c>
      <c r="G137" s="9">
        <f>G138</f>
        <v>0</v>
      </c>
      <c r="H137" s="9">
        <f>H138</f>
        <v>0</v>
      </c>
    </row>
    <row r="138" spans="1:8" s="56" customFormat="1" ht="25.5" x14ac:dyDescent="0.2">
      <c r="A138" s="28" t="s">
        <v>78</v>
      </c>
      <c r="B138" s="24" t="s">
        <v>32</v>
      </c>
      <c r="C138" s="24" t="s">
        <v>37</v>
      </c>
      <c r="D138" s="24" t="s">
        <v>246</v>
      </c>
      <c r="E138" s="24" t="s">
        <v>15</v>
      </c>
      <c r="F138" s="26"/>
      <c r="G138" s="26"/>
      <c r="H138" s="26"/>
    </row>
    <row r="139" spans="1:8" s="54" customFormat="1" ht="51" x14ac:dyDescent="0.2">
      <c r="A139" s="10" t="s">
        <v>248</v>
      </c>
      <c r="B139" s="8" t="s">
        <v>32</v>
      </c>
      <c r="C139" s="8" t="s">
        <v>37</v>
      </c>
      <c r="D139" s="8" t="s">
        <v>249</v>
      </c>
      <c r="E139" s="8"/>
      <c r="F139" s="9">
        <f>F140</f>
        <v>0</v>
      </c>
      <c r="G139" s="9">
        <f>G140</f>
        <v>0</v>
      </c>
      <c r="H139" s="9">
        <f>H140</f>
        <v>0</v>
      </c>
    </row>
    <row r="140" spans="1:8" s="56" customFormat="1" ht="25.5" x14ac:dyDescent="0.2">
      <c r="A140" s="28" t="s">
        <v>78</v>
      </c>
      <c r="B140" s="24" t="s">
        <v>32</v>
      </c>
      <c r="C140" s="24" t="s">
        <v>37</v>
      </c>
      <c r="D140" s="24" t="s">
        <v>249</v>
      </c>
      <c r="E140" s="24" t="s">
        <v>15</v>
      </c>
      <c r="F140" s="26"/>
      <c r="G140" s="26"/>
      <c r="H140" s="26"/>
    </row>
    <row r="141" spans="1:8" s="54" customFormat="1" ht="89.25" x14ac:dyDescent="0.2">
      <c r="A141" s="10" t="s">
        <v>251</v>
      </c>
      <c r="B141" s="8" t="s">
        <v>32</v>
      </c>
      <c r="C141" s="8" t="s">
        <v>37</v>
      </c>
      <c r="D141" s="8" t="s">
        <v>250</v>
      </c>
      <c r="E141" s="8"/>
      <c r="F141" s="9">
        <f>F142</f>
        <v>0</v>
      </c>
      <c r="G141" s="9">
        <f>G142</f>
        <v>0</v>
      </c>
      <c r="H141" s="9">
        <f>H142</f>
        <v>0</v>
      </c>
    </row>
    <row r="142" spans="1:8" s="56" customFormat="1" ht="25.5" x14ac:dyDescent="0.2">
      <c r="A142" s="28" t="s">
        <v>78</v>
      </c>
      <c r="B142" s="24" t="s">
        <v>32</v>
      </c>
      <c r="C142" s="24" t="s">
        <v>37</v>
      </c>
      <c r="D142" s="24" t="s">
        <v>250</v>
      </c>
      <c r="E142" s="24" t="s">
        <v>15</v>
      </c>
      <c r="F142" s="26"/>
      <c r="G142" s="26"/>
      <c r="H142" s="26"/>
    </row>
    <row r="143" spans="1:8" s="54" customFormat="1" ht="51" x14ac:dyDescent="0.2">
      <c r="A143" s="10" t="s">
        <v>253</v>
      </c>
      <c r="B143" s="8" t="s">
        <v>32</v>
      </c>
      <c r="C143" s="8" t="s">
        <v>37</v>
      </c>
      <c r="D143" s="8" t="s">
        <v>252</v>
      </c>
      <c r="E143" s="8"/>
      <c r="F143" s="9">
        <f>F144</f>
        <v>0</v>
      </c>
      <c r="G143" s="9">
        <f>G144</f>
        <v>0</v>
      </c>
      <c r="H143" s="9">
        <f>H144</f>
        <v>0</v>
      </c>
    </row>
    <row r="144" spans="1:8" s="56" customFormat="1" ht="25.5" x14ac:dyDescent="0.2">
      <c r="A144" s="28" t="s">
        <v>78</v>
      </c>
      <c r="B144" s="24" t="s">
        <v>32</v>
      </c>
      <c r="C144" s="24" t="s">
        <v>37</v>
      </c>
      <c r="D144" s="24" t="s">
        <v>252</v>
      </c>
      <c r="E144" s="24" t="s">
        <v>15</v>
      </c>
      <c r="F144" s="26"/>
      <c r="G144" s="26"/>
      <c r="H144" s="26"/>
    </row>
    <row r="145" spans="1:10" s="54" customFormat="1" ht="25.5" x14ac:dyDescent="0.2">
      <c r="A145" s="10" t="s">
        <v>255</v>
      </c>
      <c r="B145" s="8" t="s">
        <v>32</v>
      </c>
      <c r="C145" s="8" t="s">
        <v>37</v>
      </c>
      <c r="D145" s="8" t="s">
        <v>254</v>
      </c>
      <c r="E145" s="8"/>
      <c r="F145" s="9">
        <f>F146</f>
        <v>0</v>
      </c>
      <c r="G145" s="9">
        <f>G146</f>
        <v>0</v>
      </c>
      <c r="H145" s="9">
        <f>H146</f>
        <v>0</v>
      </c>
    </row>
    <row r="146" spans="1:10" s="56" customFormat="1" ht="25.5" x14ac:dyDescent="0.2">
      <c r="A146" s="28" t="s">
        <v>78</v>
      </c>
      <c r="B146" s="24" t="s">
        <v>32</v>
      </c>
      <c r="C146" s="24" t="s">
        <v>37</v>
      </c>
      <c r="D146" s="24" t="s">
        <v>254</v>
      </c>
      <c r="E146" s="24" t="s">
        <v>15</v>
      </c>
      <c r="F146" s="26"/>
      <c r="G146" s="26"/>
      <c r="H146" s="26"/>
    </row>
    <row r="147" spans="1:10" s="54" customFormat="1" ht="25.5" x14ac:dyDescent="0.2">
      <c r="A147" s="10" t="s">
        <v>257</v>
      </c>
      <c r="B147" s="8" t="s">
        <v>32</v>
      </c>
      <c r="C147" s="8" t="s">
        <v>37</v>
      </c>
      <c r="D147" s="8" t="s">
        <v>256</v>
      </c>
      <c r="E147" s="8"/>
      <c r="F147" s="9">
        <f>F149+F148</f>
        <v>0</v>
      </c>
      <c r="G147" s="9">
        <f>G149+G148</f>
        <v>0</v>
      </c>
      <c r="H147" s="9">
        <f>H149+H148</f>
        <v>0</v>
      </c>
    </row>
    <row r="148" spans="1:10" s="4" customFormat="1" ht="25.5" x14ac:dyDescent="0.2">
      <c r="A148" s="28" t="s">
        <v>20</v>
      </c>
      <c r="B148" s="24" t="s">
        <v>32</v>
      </c>
      <c r="C148" s="24" t="s">
        <v>37</v>
      </c>
      <c r="D148" s="24" t="s">
        <v>256</v>
      </c>
      <c r="E148" s="25" t="s">
        <v>12</v>
      </c>
      <c r="F148" s="26"/>
      <c r="G148" s="26"/>
      <c r="H148" s="26"/>
      <c r="I148" s="51"/>
      <c r="J148" s="51"/>
    </row>
    <row r="149" spans="1:10" s="56" customFormat="1" ht="25.5" x14ac:dyDescent="0.2">
      <c r="A149" s="28" t="s">
        <v>78</v>
      </c>
      <c r="B149" s="24" t="s">
        <v>32</v>
      </c>
      <c r="C149" s="24" t="s">
        <v>37</v>
      </c>
      <c r="D149" s="24" t="s">
        <v>256</v>
      </c>
      <c r="E149" s="24" t="s">
        <v>15</v>
      </c>
      <c r="F149" s="26"/>
      <c r="G149" s="26"/>
      <c r="H149" s="26"/>
    </row>
    <row r="150" spans="1:10" s="54" customFormat="1" ht="63.75" x14ac:dyDescent="0.2">
      <c r="A150" s="10" t="s">
        <v>259</v>
      </c>
      <c r="B150" s="8" t="s">
        <v>32</v>
      </c>
      <c r="C150" s="8" t="s">
        <v>37</v>
      </c>
      <c r="D150" s="8" t="s">
        <v>258</v>
      </c>
      <c r="E150" s="8"/>
      <c r="F150" s="9">
        <f>F152+F151</f>
        <v>0</v>
      </c>
      <c r="G150" s="9">
        <f>G152+G151</f>
        <v>0</v>
      </c>
      <c r="H150" s="9">
        <f>H152+H151</f>
        <v>0</v>
      </c>
    </row>
    <row r="151" spans="1:10" s="4" customFormat="1" ht="25.5" x14ac:dyDescent="0.2">
      <c r="A151" s="28" t="s">
        <v>20</v>
      </c>
      <c r="B151" s="24" t="s">
        <v>32</v>
      </c>
      <c r="C151" s="24" t="s">
        <v>37</v>
      </c>
      <c r="D151" s="24" t="s">
        <v>258</v>
      </c>
      <c r="E151" s="25" t="s">
        <v>12</v>
      </c>
      <c r="F151" s="26"/>
      <c r="G151" s="26"/>
      <c r="H151" s="26"/>
      <c r="I151" s="51"/>
      <c r="J151" s="51"/>
    </row>
    <row r="152" spans="1:10" s="56" customFormat="1" ht="25.5" x14ac:dyDescent="0.2">
      <c r="A152" s="28" t="s">
        <v>78</v>
      </c>
      <c r="B152" s="24" t="s">
        <v>32</v>
      </c>
      <c r="C152" s="24" t="s">
        <v>37</v>
      </c>
      <c r="D152" s="24" t="s">
        <v>258</v>
      </c>
      <c r="E152" s="24" t="s">
        <v>15</v>
      </c>
      <c r="F152" s="26"/>
      <c r="G152" s="26"/>
      <c r="H152" s="26"/>
    </row>
    <row r="153" spans="1:10" s="54" customFormat="1" ht="38.25" x14ac:dyDescent="0.2">
      <c r="A153" s="10" t="s">
        <v>260</v>
      </c>
      <c r="B153" s="8" t="s">
        <v>32</v>
      </c>
      <c r="C153" s="8" t="s">
        <v>37</v>
      </c>
      <c r="D153" s="8" t="s">
        <v>261</v>
      </c>
      <c r="E153" s="8"/>
      <c r="F153" s="9">
        <f>F155+F154</f>
        <v>0</v>
      </c>
      <c r="G153" s="9">
        <f>G155+G154</f>
        <v>0</v>
      </c>
      <c r="H153" s="9">
        <f>H155+H154</f>
        <v>0</v>
      </c>
    </row>
    <row r="154" spans="1:10" s="4" customFormat="1" ht="25.5" x14ac:dyDescent="0.2">
      <c r="A154" s="28" t="s">
        <v>20</v>
      </c>
      <c r="B154" s="24" t="s">
        <v>32</v>
      </c>
      <c r="C154" s="24" t="s">
        <v>37</v>
      </c>
      <c r="D154" s="24" t="s">
        <v>261</v>
      </c>
      <c r="E154" s="25" t="s">
        <v>12</v>
      </c>
      <c r="F154" s="26"/>
      <c r="G154" s="26"/>
      <c r="H154" s="26"/>
      <c r="I154" s="51"/>
      <c r="J154" s="51"/>
    </row>
    <row r="155" spans="1:10" s="56" customFormat="1" ht="25.5" x14ac:dyDescent="0.2">
      <c r="A155" s="28" t="s">
        <v>78</v>
      </c>
      <c r="B155" s="24" t="s">
        <v>32</v>
      </c>
      <c r="C155" s="24" t="s">
        <v>37</v>
      </c>
      <c r="D155" s="24" t="s">
        <v>261</v>
      </c>
      <c r="E155" s="24" t="s">
        <v>15</v>
      </c>
      <c r="F155" s="26"/>
      <c r="G155" s="26"/>
      <c r="H155" s="26"/>
    </row>
    <row r="156" spans="1:10" s="54" customFormat="1" x14ac:dyDescent="0.2">
      <c r="A156" s="10" t="s">
        <v>263</v>
      </c>
      <c r="B156" s="8" t="s">
        <v>32</v>
      </c>
      <c r="C156" s="8" t="s">
        <v>37</v>
      </c>
      <c r="D156" s="8" t="s">
        <v>262</v>
      </c>
      <c r="E156" s="8"/>
      <c r="F156" s="9">
        <f>F158+F157</f>
        <v>0</v>
      </c>
      <c r="G156" s="9">
        <f>G158+G157</f>
        <v>0</v>
      </c>
      <c r="H156" s="9">
        <f>H158+H157</f>
        <v>0</v>
      </c>
    </row>
    <row r="157" spans="1:10" s="4" customFormat="1" ht="25.5" x14ac:dyDescent="0.2">
      <c r="A157" s="28" t="s">
        <v>20</v>
      </c>
      <c r="B157" s="24" t="s">
        <v>32</v>
      </c>
      <c r="C157" s="24" t="s">
        <v>37</v>
      </c>
      <c r="D157" s="24" t="s">
        <v>262</v>
      </c>
      <c r="E157" s="25" t="s">
        <v>12</v>
      </c>
      <c r="F157" s="26"/>
      <c r="G157" s="26"/>
      <c r="H157" s="26"/>
      <c r="I157" s="51"/>
      <c r="J157" s="51"/>
    </row>
    <row r="158" spans="1:10" s="56" customFormat="1" ht="25.5" x14ac:dyDescent="0.2">
      <c r="A158" s="28" t="s">
        <v>78</v>
      </c>
      <c r="B158" s="24" t="s">
        <v>32</v>
      </c>
      <c r="C158" s="24" t="s">
        <v>37</v>
      </c>
      <c r="D158" s="24" t="s">
        <v>262</v>
      </c>
      <c r="E158" s="24" t="s">
        <v>15</v>
      </c>
      <c r="F158" s="26"/>
      <c r="G158" s="26"/>
      <c r="H158" s="26"/>
    </row>
    <row r="159" spans="1:10" ht="15.75" x14ac:dyDescent="0.25">
      <c r="A159" s="38" t="s">
        <v>43</v>
      </c>
      <c r="B159" s="36" t="s">
        <v>44</v>
      </c>
      <c r="C159" s="36" t="s">
        <v>26</v>
      </c>
      <c r="D159" s="36"/>
      <c r="E159" s="36"/>
      <c r="F159" s="37">
        <f>F160+F180+F203+F214</f>
        <v>198334.80000000002</v>
      </c>
      <c r="G159" s="37">
        <f>G160+G180+G203+G214</f>
        <v>102280</v>
      </c>
      <c r="H159" s="37">
        <f>H160+H180+H203+H214</f>
        <v>114742.6</v>
      </c>
    </row>
    <row r="160" spans="1:10" s="27" customFormat="1" x14ac:dyDescent="0.2">
      <c r="A160" s="14" t="s">
        <v>45</v>
      </c>
      <c r="B160" s="11" t="s">
        <v>44</v>
      </c>
      <c r="C160" s="11" t="s">
        <v>25</v>
      </c>
      <c r="D160" s="11"/>
      <c r="E160" s="11"/>
      <c r="F160" s="12">
        <f>F163+F169+F171+F174+F178+F176+F161+F165+F167</f>
        <v>48366.9</v>
      </c>
      <c r="G160" s="12">
        <f t="shared" ref="G160:H160" si="20">G163+G169+G171+G174+G178+G176+G161+G165+G167</f>
        <v>22334.1</v>
      </c>
      <c r="H160" s="12">
        <f t="shared" si="20"/>
        <v>22334.1</v>
      </c>
    </row>
    <row r="161" spans="1:8" x14ac:dyDescent="0.2">
      <c r="A161" s="5" t="s">
        <v>266</v>
      </c>
      <c r="B161" s="8" t="s">
        <v>44</v>
      </c>
      <c r="C161" s="8" t="s">
        <v>25</v>
      </c>
      <c r="D161" s="8" t="s">
        <v>156</v>
      </c>
      <c r="E161" s="8"/>
      <c r="F161" s="9">
        <f>F162</f>
        <v>0</v>
      </c>
      <c r="G161" s="9">
        <f>G162</f>
        <v>0</v>
      </c>
      <c r="H161" s="9">
        <f>H162</f>
        <v>0</v>
      </c>
    </row>
    <row r="162" spans="1:8" s="27" customFormat="1" ht="25.5" x14ac:dyDescent="0.2">
      <c r="A162" s="28" t="s">
        <v>78</v>
      </c>
      <c r="B162" s="24" t="s">
        <v>44</v>
      </c>
      <c r="C162" s="24" t="s">
        <v>25</v>
      </c>
      <c r="D162" s="24" t="s">
        <v>156</v>
      </c>
      <c r="E162" s="24" t="s">
        <v>15</v>
      </c>
      <c r="F162" s="26"/>
      <c r="G162" s="26"/>
      <c r="H162" s="26"/>
    </row>
    <row r="163" spans="1:8" ht="51" customHeight="1" x14ac:dyDescent="0.2">
      <c r="A163" s="5" t="s">
        <v>270</v>
      </c>
      <c r="B163" s="8" t="s">
        <v>44</v>
      </c>
      <c r="C163" s="8" t="s">
        <v>25</v>
      </c>
      <c r="D163" s="8" t="s">
        <v>150</v>
      </c>
      <c r="E163" s="8"/>
      <c r="F163" s="9">
        <f>F164</f>
        <v>27186.7</v>
      </c>
      <c r="G163" s="9">
        <f>G164</f>
        <v>0</v>
      </c>
      <c r="H163" s="9">
        <f>H164</f>
        <v>0</v>
      </c>
    </row>
    <row r="164" spans="1:8" s="27" customFormat="1" ht="25.5" x14ac:dyDescent="0.2">
      <c r="A164" s="28" t="s">
        <v>78</v>
      </c>
      <c r="B164" s="24" t="s">
        <v>44</v>
      </c>
      <c r="C164" s="24" t="s">
        <v>25</v>
      </c>
      <c r="D164" s="24" t="s">
        <v>150</v>
      </c>
      <c r="E164" s="24" t="s">
        <v>15</v>
      </c>
      <c r="F164" s="26">
        <v>27186.7</v>
      </c>
      <c r="G164" s="26">
        <v>0</v>
      </c>
      <c r="H164" s="26">
        <v>0</v>
      </c>
    </row>
    <row r="165" spans="1:8" ht="38.25" x14ac:dyDescent="0.2">
      <c r="A165" s="10" t="s">
        <v>269</v>
      </c>
      <c r="B165" s="8" t="s">
        <v>44</v>
      </c>
      <c r="C165" s="8" t="s">
        <v>25</v>
      </c>
      <c r="D165" s="8" t="s">
        <v>268</v>
      </c>
      <c r="E165" s="8"/>
      <c r="F165" s="9">
        <f>F166</f>
        <v>2725</v>
      </c>
      <c r="G165" s="9">
        <f t="shared" ref="G165:H169" si="21">G166</f>
        <v>0</v>
      </c>
      <c r="H165" s="9">
        <f t="shared" si="21"/>
        <v>0</v>
      </c>
    </row>
    <row r="166" spans="1:8" ht="25.5" x14ac:dyDescent="0.2">
      <c r="A166" s="28" t="s">
        <v>78</v>
      </c>
      <c r="B166" s="24" t="s">
        <v>44</v>
      </c>
      <c r="C166" s="24" t="s">
        <v>25</v>
      </c>
      <c r="D166" s="24" t="s">
        <v>268</v>
      </c>
      <c r="E166" s="25" t="s">
        <v>15</v>
      </c>
      <c r="F166" s="26">
        <v>2725</v>
      </c>
      <c r="G166" s="26">
        <v>0</v>
      </c>
      <c r="H166" s="26">
        <v>0</v>
      </c>
    </row>
    <row r="167" spans="1:8" x14ac:dyDescent="0.2">
      <c r="A167" s="64" t="s">
        <v>266</v>
      </c>
      <c r="B167" s="8" t="s">
        <v>44</v>
      </c>
      <c r="C167" s="8" t="s">
        <v>25</v>
      </c>
      <c r="D167" s="8" t="s">
        <v>449</v>
      </c>
      <c r="E167" s="8"/>
      <c r="F167" s="9">
        <f>F168</f>
        <v>2725</v>
      </c>
      <c r="G167" s="9">
        <f t="shared" si="21"/>
        <v>0</v>
      </c>
      <c r="H167" s="9">
        <f t="shared" si="21"/>
        <v>0</v>
      </c>
    </row>
    <row r="168" spans="1:8" ht="25.5" x14ac:dyDescent="0.2">
      <c r="A168" s="28" t="s">
        <v>78</v>
      </c>
      <c r="B168" s="24" t="s">
        <v>44</v>
      </c>
      <c r="C168" s="24" t="s">
        <v>25</v>
      </c>
      <c r="D168" s="24" t="s">
        <v>449</v>
      </c>
      <c r="E168" s="25" t="s">
        <v>15</v>
      </c>
      <c r="F168" s="26">
        <v>2725</v>
      </c>
      <c r="G168" s="26">
        <v>0</v>
      </c>
      <c r="H168" s="26">
        <v>0</v>
      </c>
    </row>
    <row r="169" spans="1:8" ht="25.5" x14ac:dyDescent="0.2">
      <c r="A169" s="10" t="s">
        <v>271</v>
      </c>
      <c r="B169" s="8" t="s">
        <v>44</v>
      </c>
      <c r="C169" s="8" t="s">
        <v>25</v>
      </c>
      <c r="D169" s="8" t="s">
        <v>267</v>
      </c>
      <c r="E169" s="8"/>
      <c r="F169" s="9">
        <f>F170</f>
        <v>3983</v>
      </c>
      <c r="G169" s="9">
        <f t="shared" si="21"/>
        <v>0</v>
      </c>
      <c r="H169" s="9">
        <f t="shared" si="21"/>
        <v>0</v>
      </c>
    </row>
    <row r="170" spans="1:8" ht="25.5" x14ac:dyDescent="0.2">
      <c r="A170" s="28" t="s">
        <v>20</v>
      </c>
      <c r="B170" s="24" t="s">
        <v>44</v>
      </c>
      <c r="C170" s="24" t="s">
        <v>25</v>
      </c>
      <c r="D170" s="24" t="s">
        <v>267</v>
      </c>
      <c r="E170" s="25" t="s">
        <v>12</v>
      </c>
      <c r="F170" s="26">
        <v>3983</v>
      </c>
      <c r="G170" s="26">
        <v>0</v>
      </c>
      <c r="H170" s="26">
        <v>0</v>
      </c>
    </row>
    <row r="171" spans="1:8" x14ac:dyDescent="0.2">
      <c r="A171" s="10" t="s">
        <v>273</v>
      </c>
      <c r="B171" s="8" t="s">
        <v>44</v>
      </c>
      <c r="C171" s="8" t="s">
        <v>25</v>
      </c>
      <c r="D171" s="8" t="s">
        <v>272</v>
      </c>
      <c r="E171" s="8"/>
      <c r="F171" s="9">
        <f>F172+F173</f>
        <v>5377.1</v>
      </c>
      <c r="G171" s="9">
        <f>G172+G173</f>
        <v>7562.9</v>
      </c>
      <c r="H171" s="9">
        <f>H172+H173</f>
        <v>7562.9</v>
      </c>
    </row>
    <row r="172" spans="1:8" ht="25.5" x14ac:dyDescent="0.2">
      <c r="A172" s="28" t="s">
        <v>20</v>
      </c>
      <c r="B172" s="24" t="s">
        <v>44</v>
      </c>
      <c r="C172" s="24" t="s">
        <v>25</v>
      </c>
      <c r="D172" s="8" t="s">
        <v>272</v>
      </c>
      <c r="E172" s="25" t="s">
        <v>12</v>
      </c>
      <c r="F172" s="26">
        <v>200</v>
      </c>
      <c r="G172" s="26">
        <v>200</v>
      </c>
      <c r="H172" s="26">
        <v>200</v>
      </c>
    </row>
    <row r="173" spans="1:8" ht="25.5" x14ac:dyDescent="0.2">
      <c r="A173" s="28" t="s">
        <v>78</v>
      </c>
      <c r="B173" s="24" t="s">
        <v>44</v>
      </c>
      <c r="C173" s="24" t="s">
        <v>25</v>
      </c>
      <c r="D173" s="8" t="s">
        <v>272</v>
      </c>
      <c r="E173" s="24" t="s">
        <v>15</v>
      </c>
      <c r="F173" s="26">
        <v>5177.1000000000004</v>
      </c>
      <c r="G173" s="26">
        <v>7362.9</v>
      </c>
      <c r="H173" s="26">
        <v>7362.9</v>
      </c>
    </row>
    <row r="174" spans="1:8" x14ac:dyDescent="0.2">
      <c r="A174" s="10" t="s">
        <v>275</v>
      </c>
      <c r="B174" s="8" t="s">
        <v>44</v>
      </c>
      <c r="C174" s="8" t="s">
        <v>25</v>
      </c>
      <c r="D174" s="24" t="s">
        <v>274</v>
      </c>
      <c r="E174" s="8"/>
      <c r="F174" s="9">
        <f>F175</f>
        <v>2832.1</v>
      </c>
      <c r="G174" s="9">
        <f>G175</f>
        <v>11233.2</v>
      </c>
      <c r="H174" s="9">
        <f>H175</f>
        <v>11233.2</v>
      </c>
    </row>
    <row r="175" spans="1:8" ht="25.5" x14ac:dyDescent="0.2">
      <c r="A175" s="28" t="s">
        <v>20</v>
      </c>
      <c r="B175" s="8" t="s">
        <v>44</v>
      </c>
      <c r="C175" s="8" t="s">
        <v>25</v>
      </c>
      <c r="D175" s="24" t="s">
        <v>274</v>
      </c>
      <c r="E175" s="24" t="s">
        <v>12</v>
      </c>
      <c r="F175" s="26">
        <v>2832.1</v>
      </c>
      <c r="G175" s="26">
        <v>11233.2</v>
      </c>
      <c r="H175" s="26">
        <v>11233.2</v>
      </c>
    </row>
    <row r="176" spans="1:8" ht="25.5" x14ac:dyDescent="0.2">
      <c r="A176" s="10" t="s">
        <v>276</v>
      </c>
      <c r="B176" s="8" t="s">
        <v>44</v>
      </c>
      <c r="C176" s="8" t="s">
        <v>25</v>
      </c>
      <c r="D176" s="8" t="s">
        <v>277</v>
      </c>
      <c r="E176" s="8"/>
      <c r="F176" s="9">
        <f>F177</f>
        <v>2263.6999999999998</v>
      </c>
      <c r="G176" s="9">
        <f>G177</f>
        <v>2263.6999999999998</v>
      </c>
      <c r="H176" s="9">
        <f>H177</f>
        <v>2263.6999999999998</v>
      </c>
    </row>
    <row r="177" spans="1:15" ht="25.5" x14ac:dyDescent="0.2">
      <c r="A177" s="28" t="s">
        <v>20</v>
      </c>
      <c r="B177" s="24" t="s">
        <v>44</v>
      </c>
      <c r="C177" s="24" t="s">
        <v>25</v>
      </c>
      <c r="D177" s="24" t="s">
        <v>277</v>
      </c>
      <c r="E177" s="24" t="s">
        <v>12</v>
      </c>
      <c r="F177" s="26">
        <v>2263.6999999999998</v>
      </c>
      <c r="G177" s="26">
        <v>2263.6999999999998</v>
      </c>
      <c r="H177" s="26">
        <v>2263.6999999999998</v>
      </c>
    </row>
    <row r="178" spans="1:15" ht="25.5" x14ac:dyDescent="0.2">
      <c r="A178" s="10" t="s">
        <v>278</v>
      </c>
      <c r="B178" s="8" t="s">
        <v>44</v>
      </c>
      <c r="C178" s="8" t="s">
        <v>25</v>
      </c>
      <c r="D178" s="8" t="s">
        <v>279</v>
      </c>
      <c r="E178" s="8"/>
      <c r="F178" s="9">
        <f>F179</f>
        <v>1274.3</v>
      </c>
      <c r="G178" s="9">
        <f>G179</f>
        <v>1274.3</v>
      </c>
      <c r="H178" s="9">
        <f>H179</f>
        <v>1274.3</v>
      </c>
    </row>
    <row r="179" spans="1:15" x14ac:dyDescent="0.2">
      <c r="A179" s="28" t="s">
        <v>16</v>
      </c>
      <c r="B179" s="24" t="s">
        <v>44</v>
      </c>
      <c r="C179" s="24" t="s">
        <v>25</v>
      </c>
      <c r="D179" s="24" t="s">
        <v>279</v>
      </c>
      <c r="E179" s="24" t="s">
        <v>17</v>
      </c>
      <c r="F179" s="26">
        <f>1274.3</f>
        <v>1274.3</v>
      </c>
      <c r="G179" s="26">
        <f t="shared" ref="G179:H179" si="22">1274.3</f>
        <v>1274.3</v>
      </c>
      <c r="H179" s="26">
        <f t="shared" si="22"/>
        <v>1274.3</v>
      </c>
    </row>
    <row r="180" spans="1:15" x14ac:dyDescent="0.2">
      <c r="A180" s="14" t="s">
        <v>46</v>
      </c>
      <c r="B180" s="11" t="s">
        <v>44</v>
      </c>
      <c r="C180" s="11" t="s">
        <v>28</v>
      </c>
      <c r="D180" s="11"/>
      <c r="E180" s="11"/>
      <c r="F180" s="12">
        <f>F181+F183+F195+F197+F199+F201+F187+F189+F191+F193+F185</f>
        <v>124871.80000000002</v>
      </c>
      <c r="G180" s="12">
        <f t="shared" ref="G180:H180" si="23">G181+G183+G195+G197+G199+G201+G187+G189+G191+G193+G185</f>
        <v>54849.799999999996</v>
      </c>
      <c r="H180" s="12">
        <f t="shared" si="23"/>
        <v>67312.399999999994</v>
      </c>
    </row>
    <row r="181" spans="1:15" ht="25.5" x14ac:dyDescent="0.2">
      <c r="A181" s="5" t="s">
        <v>219</v>
      </c>
      <c r="B181" s="8" t="s">
        <v>44</v>
      </c>
      <c r="C181" s="8" t="s">
        <v>28</v>
      </c>
      <c r="D181" s="8" t="s">
        <v>218</v>
      </c>
      <c r="E181" s="1"/>
      <c r="F181" s="2">
        <f>F182</f>
        <v>43.4</v>
      </c>
      <c r="G181" s="2">
        <f>G182</f>
        <v>43.4</v>
      </c>
      <c r="H181" s="2">
        <f>H182</f>
        <v>43.4</v>
      </c>
    </row>
    <row r="182" spans="1:15" s="4" customFormat="1" ht="25.5" x14ac:dyDescent="0.2">
      <c r="A182" s="28" t="s">
        <v>20</v>
      </c>
      <c r="B182" s="24" t="s">
        <v>44</v>
      </c>
      <c r="C182" s="24" t="s">
        <v>28</v>
      </c>
      <c r="D182" s="24" t="s">
        <v>218</v>
      </c>
      <c r="E182" s="25" t="s">
        <v>12</v>
      </c>
      <c r="F182" s="26">
        <f>43.4</f>
        <v>43.4</v>
      </c>
      <c r="G182" s="26">
        <f t="shared" ref="G182:H182" si="24">43.4</f>
        <v>43.4</v>
      </c>
      <c r="H182" s="26">
        <f t="shared" si="24"/>
        <v>43.4</v>
      </c>
    </row>
    <row r="183" spans="1:15" ht="25.5" x14ac:dyDescent="0.2">
      <c r="A183" s="5" t="s">
        <v>280</v>
      </c>
      <c r="B183" s="8" t="s">
        <v>44</v>
      </c>
      <c r="C183" s="8" t="s">
        <v>28</v>
      </c>
      <c r="D183" s="8" t="s">
        <v>281</v>
      </c>
      <c r="E183" s="8"/>
      <c r="F183" s="9">
        <f>F184</f>
        <v>2314</v>
      </c>
      <c r="G183" s="9">
        <f t="shared" ref="G183:H185" si="25">G184</f>
        <v>4455</v>
      </c>
      <c r="H183" s="9">
        <f t="shared" si="25"/>
        <v>4573</v>
      </c>
    </row>
    <row r="184" spans="1:15" ht="25.5" x14ac:dyDescent="0.2">
      <c r="A184" s="28" t="s">
        <v>20</v>
      </c>
      <c r="B184" s="24" t="s">
        <v>44</v>
      </c>
      <c r="C184" s="24" t="s">
        <v>28</v>
      </c>
      <c r="D184" s="24" t="s">
        <v>281</v>
      </c>
      <c r="E184" s="24" t="s">
        <v>12</v>
      </c>
      <c r="F184" s="26">
        <f>2314</f>
        <v>2314</v>
      </c>
      <c r="G184" s="26">
        <f>4455</f>
        <v>4455</v>
      </c>
      <c r="H184" s="26">
        <f>4573</f>
        <v>4573</v>
      </c>
    </row>
    <row r="185" spans="1:15" ht="25.5" x14ac:dyDescent="0.2">
      <c r="A185" s="5" t="s">
        <v>285</v>
      </c>
      <c r="B185" s="8" t="s">
        <v>44</v>
      </c>
      <c r="C185" s="8" t="s">
        <v>28</v>
      </c>
      <c r="D185" s="8" t="s">
        <v>284</v>
      </c>
      <c r="E185" s="8"/>
      <c r="F185" s="9">
        <f>F186</f>
        <v>1500</v>
      </c>
      <c r="G185" s="9">
        <f t="shared" si="25"/>
        <v>1500</v>
      </c>
      <c r="H185" s="9">
        <f t="shared" si="25"/>
        <v>1500</v>
      </c>
    </row>
    <row r="186" spans="1:15" ht="25.5" x14ac:dyDescent="0.2">
      <c r="A186" s="28" t="s">
        <v>78</v>
      </c>
      <c r="B186" s="24" t="s">
        <v>44</v>
      </c>
      <c r="C186" s="24" t="s">
        <v>28</v>
      </c>
      <c r="D186" s="24" t="s">
        <v>284</v>
      </c>
      <c r="E186" s="24" t="s">
        <v>15</v>
      </c>
      <c r="F186" s="26">
        <f>1500</f>
        <v>1500</v>
      </c>
      <c r="G186" s="26">
        <f>1500</f>
        <v>1500</v>
      </c>
      <c r="H186" s="26">
        <f>1500</f>
        <v>1500</v>
      </c>
    </row>
    <row r="187" spans="1:15" s="3" customFormat="1" x14ac:dyDescent="0.2">
      <c r="A187" s="5" t="s">
        <v>282</v>
      </c>
      <c r="B187" s="8" t="s">
        <v>44</v>
      </c>
      <c r="C187" s="8" t="s">
        <v>28</v>
      </c>
      <c r="D187" s="8" t="s">
        <v>283</v>
      </c>
      <c r="E187" s="8"/>
      <c r="F187" s="9">
        <f>F188</f>
        <v>890</v>
      </c>
      <c r="G187" s="9">
        <f>G188</f>
        <v>890</v>
      </c>
      <c r="H187" s="9">
        <f>H188</f>
        <v>890</v>
      </c>
      <c r="I187" s="27"/>
      <c r="J187" s="27"/>
      <c r="K187" s="27"/>
      <c r="L187" s="27"/>
      <c r="M187" s="27"/>
      <c r="N187" s="27"/>
      <c r="O187" s="27"/>
    </row>
    <row r="188" spans="1:15" s="3" customFormat="1" ht="25.5" x14ac:dyDescent="0.2">
      <c r="A188" s="28" t="s">
        <v>20</v>
      </c>
      <c r="B188" s="24" t="s">
        <v>44</v>
      </c>
      <c r="C188" s="24" t="s">
        <v>28</v>
      </c>
      <c r="D188" s="24" t="s">
        <v>283</v>
      </c>
      <c r="E188" s="24" t="s">
        <v>12</v>
      </c>
      <c r="F188" s="26">
        <f>890</f>
        <v>890</v>
      </c>
      <c r="G188" s="26">
        <f>890</f>
        <v>890</v>
      </c>
      <c r="H188" s="26">
        <f>890</f>
        <v>890</v>
      </c>
      <c r="I188" s="13"/>
      <c r="J188" s="13"/>
      <c r="K188" s="13"/>
      <c r="L188" s="13"/>
      <c r="M188" s="13"/>
      <c r="N188" s="13"/>
      <c r="O188" s="13"/>
    </row>
    <row r="189" spans="1:15" s="3" customFormat="1" x14ac:dyDescent="0.2">
      <c r="A189" s="5" t="s">
        <v>288</v>
      </c>
      <c r="B189" s="8" t="s">
        <v>44</v>
      </c>
      <c r="C189" s="8" t="s">
        <v>28</v>
      </c>
      <c r="D189" s="8" t="s">
        <v>287</v>
      </c>
      <c r="E189" s="8"/>
      <c r="F189" s="9">
        <f>F190</f>
        <v>50</v>
      </c>
      <c r="G189" s="9">
        <f>G190</f>
        <v>50</v>
      </c>
      <c r="H189" s="9">
        <f>H190</f>
        <v>50</v>
      </c>
      <c r="I189" s="27"/>
      <c r="J189" s="27"/>
      <c r="K189" s="27"/>
      <c r="L189" s="27"/>
      <c r="M189" s="27"/>
      <c r="N189" s="27"/>
      <c r="O189" s="27"/>
    </row>
    <row r="190" spans="1:15" s="3" customFormat="1" ht="25.5" x14ac:dyDescent="0.2">
      <c r="A190" s="28" t="s">
        <v>20</v>
      </c>
      <c r="B190" s="24" t="s">
        <v>44</v>
      </c>
      <c r="C190" s="24" t="s">
        <v>28</v>
      </c>
      <c r="D190" s="24" t="s">
        <v>287</v>
      </c>
      <c r="E190" s="24" t="s">
        <v>12</v>
      </c>
      <c r="F190" s="26">
        <f>50</f>
        <v>50</v>
      </c>
      <c r="G190" s="26">
        <f>50</f>
        <v>50</v>
      </c>
      <c r="H190" s="26">
        <f>50</f>
        <v>50</v>
      </c>
      <c r="I190" s="13"/>
      <c r="J190" s="13"/>
      <c r="K190" s="13"/>
      <c r="L190" s="13"/>
      <c r="M190" s="13"/>
      <c r="N190" s="13"/>
      <c r="O190" s="13"/>
    </row>
    <row r="191" spans="1:15" s="3" customFormat="1" x14ac:dyDescent="0.2">
      <c r="A191" s="5" t="s">
        <v>290</v>
      </c>
      <c r="B191" s="8" t="s">
        <v>44</v>
      </c>
      <c r="C191" s="8" t="s">
        <v>28</v>
      </c>
      <c r="D191" s="8" t="s">
        <v>289</v>
      </c>
      <c r="E191" s="8"/>
      <c r="F191" s="9">
        <f>F192</f>
        <v>1500</v>
      </c>
      <c r="G191" s="9">
        <f t="shared" ref="G191:H193" si="26">G192</f>
        <v>500</v>
      </c>
      <c r="H191" s="9">
        <f t="shared" si="26"/>
        <v>500</v>
      </c>
      <c r="I191" s="27"/>
      <c r="J191" s="27"/>
      <c r="K191" s="27"/>
      <c r="L191" s="27"/>
      <c r="M191" s="27"/>
      <c r="N191" s="27"/>
      <c r="O191" s="27"/>
    </row>
    <row r="192" spans="1:15" s="3" customFormat="1" ht="25.5" x14ac:dyDescent="0.2">
      <c r="A192" s="28" t="s">
        <v>20</v>
      </c>
      <c r="B192" s="24" t="s">
        <v>44</v>
      </c>
      <c r="C192" s="24" t="s">
        <v>28</v>
      </c>
      <c r="D192" s="24" t="s">
        <v>289</v>
      </c>
      <c r="E192" s="24" t="s">
        <v>12</v>
      </c>
      <c r="F192" s="26">
        <f>1500</f>
        <v>1500</v>
      </c>
      <c r="G192" s="26">
        <f>500</f>
        <v>500</v>
      </c>
      <c r="H192" s="26">
        <f>500</f>
        <v>500</v>
      </c>
      <c r="I192" s="13"/>
      <c r="J192" s="13"/>
      <c r="K192" s="13"/>
      <c r="L192" s="13"/>
      <c r="M192" s="13"/>
      <c r="N192" s="13"/>
      <c r="O192" s="13"/>
    </row>
    <row r="193" spans="1:15" s="3" customFormat="1" x14ac:dyDescent="0.2">
      <c r="A193" s="5" t="s">
        <v>291</v>
      </c>
      <c r="B193" s="8" t="s">
        <v>44</v>
      </c>
      <c r="C193" s="8" t="s">
        <v>28</v>
      </c>
      <c r="D193" s="8" t="s">
        <v>292</v>
      </c>
      <c r="E193" s="8"/>
      <c r="F193" s="9">
        <f>F194</f>
        <v>2000</v>
      </c>
      <c r="G193" s="9">
        <f t="shared" si="26"/>
        <v>1000</v>
      </c>
      <c r="H193" s="9">
        <f t="shared" si="26"/>
        <v>1000</v>
      </c>
      <c r="I193" s="27"/>
      <c r="J193" s="27"/>
      <c r="K193" s="27"/>
      <c r="L193" s="27"/>
      <c r="M193" s="27"/>
      <c r="N193" s="27"/>
      <c r="O193" s="27"/>
    </row>
    <row r="194" spans="1:15" s="3" customFormat="1" ht="25.5" x14ac:dyDescent="0.2">
      <c r="A194" s="28" t="s">
        <v>20</v>
      </c>
      <c r="B194" s="24" t="s">
        <v>44</v>
      </c>
      <c r="C194" s="24" t="s">
        <v>28</v>
      </c>
      <c r="D194" s="24" t="s">
        <v>292</v>
      </c>
      <c r="E194" s="24" t="s">
        <v>12</v>
      </c>
      <c r="F194" s="26">
        <f>2000</f>
        <v>2000</v>
      </c>
      <c r="G194" s="26">
        <f>1000</f>
        <v>1000</v>
      </c>
      <c r="H194" s="26">
        <f>1000</f>
        <v>1000</v>
      </c>
      <c r="I194" s="13"/>
      <c r="J194" s="13"/>
      <c r="K194" s="13"/>
      <c r="L194" s="13"/>
      <c r="M194" s="13"/>
      <c r="N194" s="13"/>
      <c r="O194" s="13"/>
    </row>
    <row r="195" spans="1:15" ht="63.75" x14ac:dyDescent="0.2">
      <c r="A195" s="10" t="s">
        <v>293</v>
      </c>
      <c r="B195" s="8" t="s">
        <v>44</v>
      </c>
      <c r="C195" s="8" t="s">
        <v>28</v>
      </c>
      <c r="D195" s="8" t="s">
        <v>294</v>
      </c>
      <c r="E195" s="8"/>
      <c r="F195" s="9">
        <f>F196</f>
        <v>111382.80000000002</v>
      </c>
      <c r="G195" s="9">
        <f>G196</f>
        <v>41219.799999999996</v>
      </c>
      <c r="H195" s="9">
        <f>H196</f>
        <v>53564.4</v>
      </c>
    </row>
    <row r="196" spans="1:15" x14ac:dyDescent="0.2">
      <c r="A196" s="28" t="s">
        <v>16</v>
      </c>
      <c r="B196" s="24" t="s">
        <v>44</v>
      </c>
      <c r="C196" s="24" t="s">
        <v>28</v>
      </c>
      <c r="D196" s="24" t="s">
        <v>294</v>
      </c>
      <c r="E196" s="24" t="s">
        <v>17</v>
      </c>
      <c r="F196" s="26">
        <f>29522.4+80374.8+1485.6</f>
        <v>111382.80000000002</v>
      </c>
      <c r="G196" s="26">
        <f>10222.7+27831.5+1485.6+1680</f>
        <v>41219.799999999996</v>
      </c>
      <c r="H196" s="26">
        <f>13538.9+36859.9+1485.6+1680</f>
        <v>53564.4</v>
      </c>
    </row>
    <row r="197" spans="1:15" ht="63.75" x14ac:dyDescent="0.2">
      <c r="A197" s="5" t="s">
        <v>295</v>
      </c>
      <c r="B197" s="8" t="s">
        <v>44</v>
      </c>
      <c r="C197" s="8" t="s">
        <v>28</v>
      </c>
      <c r="D197" s="8" t="s">
        <v>296</v>
      </c>
      <c r="E197" s="8"/>
      <c r="F197" s="9">
        <f>F198</f>
        <v>1600.5</v>
      </c>
      <c r="G197" s="9">
        <f>G198</f>
        <v>1600.5</v>
      </c>
      <c r="H197" s="9">
        <f>H198</f>
        <v>1600.5</v>
      </c>
    </row>
    <row r="198" spans="1:15" x14ac:dyDescent="0.2">
      <c r="A198" s="28" t="s">
        <v>16</v>
      </c>
      <c r="B198" s="24" t="s">
        <v>44</v>
      </c>
      <c r="C198" s="24" t="s">
        <v>28</v>
      </c>
      <c r="D198" s="24" t="s">
        <v>296</v>
      </c>
      <c r="E198" s="24" t="s">
        <v>17</v>
      </c>
      <c r="F198" s="26">
        <f>1600.5</f>
        <v>1600.5</v>
      </c>
      <c r="G198" s="26">
        <f t="shared" ref="G198:H198" si="27">1600.5</f>
        <v>1600.5</v>
      </c>
      <c r="H198" s="26">
        <f t="shared" si="27"/>
        <v>1600.5</v>
      </c>
    </row>
    <row r="199" spans="1:15" ht="38.25" x14ac:dyDescent="0.2">
      <c r="A199" s="10" t="s">
        <v>297</v>
      </c>
      <c r="B199" s="8" t="s">
        <v>44</v>
      </c>
      <c r="C199" s="8" t="s">
        <v>28</v>
      </c>
      <c r="D199" s="8" t="s">
        <v>298</v>
      </c>
      <c r="E199" s="8"/>
      <c r="F199" s="9">
        <f>F200</f>
        <v>3591.1</v>
      </c>
      <c r="G199" s="9">
        <f>G200</f>
        <v>3591.1</v>
      </c>
      <c r="H199" s="9">
        <f>H200</f>
        <v>3591.1</v>
      </c>
    </row>
    <row r="200" spans="1:15" x14ac:dyDescent="0.2">
      <c r="A200" s="28" t="s">
        <v>16</v>
      </c>
      <c r="B200" s="24" t="s">
        <v>44</v>
      </c>
      <c r="C200" s="24" t="s">
        <v>28</v>
      </c>
      <c r="D200" s="24" t="s">
        <v>298</v>
      </c>
      <c r="E200" s="24" t="s">
        <v>17</v>
      </c>
      <c r="F200" s="26">
        <f>3591.1</f>
        <v>3591.1</v>
      </c>
      <c r="G200" s="26">
        <f t="shared" ref="G200:H200" si="28">3591.1</f>
        <v>3591.1</v>
      </c>
      <c r="H200" s="26">
        <f t="shared" si="28"/>
        <v>3591.1</v>
      </c>
    </row>
    <row r="201" spans="1:15" ht="51" x14ac:dyDescent="0.2">
      <c r="A201" s="10" t="s">
        <v>300</v>
      </c>
      <c r="B201" s="8" t="s">
        <v>44</v>
      </c>
      <c r="C201" s="8" t="s">
        <v>28</v>
      </c>
      <c r="D201" s="8" t="s">
        <v>299</v>
      </c>
      <c r="E201" s="8"/>
      <c r="F201" s="9">
        <f>F202</f>
        <v>0</v>
      </c>
      <c r="G201" s="9">
        <f>G202</f>
        <v>0</v>
      </c>
      <c r="H201" s="9">
        <f>H202</f>
        <v>0</v>
      </c>
    </row>
    <row r="202" spans="1:15" x14ac:dyDescent="0.2">
      <c r="A202" s="28" t="s">
        <v>16</v>
      </c>
      <c r="B202" s="24" t="s">
        <v>44</v>
      </c>
      <c r="C202" s="24" t="s">
        <v>28</v>
      </c>
      <c r="D202" s="24" t="s">
        <v>299</v>
      </c>
      <c r="E202" s="24" t="s">
        <v>17</v>
      </c>
      <c r="F202" s="26"/>
      <c r="G202" s="26"/>
      <c r="H202" s="26"/>
    </row>
    <row r="203" spans="1:15" x14ac:dyDescent="0.2">
      <c r="A203" s="14" t="s">
        <v>47</v>
      </c>
      <c r="B203" s="11" t="s">
        <v>44</v>
      </c>
      <c r="C203" s="11" t="s">
        <v>30</v>
      </c>
      <c r="D203" s="11"/>
      <c r="E203" s="11"/>
      <c r="F203" s="12">
        <f>F206+F208+F210+F212+F204</f>
        <v>10150</v>
      </c>
      <c r="G203" s="12">
        <f>G206+G208+G210+G212+G204</f>
        <v>10150</v>
      </c>
      <c r="H203" s="12">
        <f>H206+H208+H210+H212+H204</f>
        <v>10150</v>
      </c>
    </row>
    <row r="204" spans="1:15" ht="25.5" x14ac:dyDescent="0.2">
      <c r="A204" s="5" t="s">
        <v>301</v>
      </c>
      <c r="B204" s="8" t="s">
        <v>44</v>
      </c>
      <c r="C204" s="8" t="s">
        <v>30</v>
      </c>
      <c r="D204" s="8" t="s">
        <v>95</v>
      </c>
      <c r="E204" s="8"/>
      <c r="F204" s="9">
        <f>F205</f>
        <v>0</v>
      </c>
      <c r="G204" s="9">
        <f>G205</f>
        <v>0</v>
      </c>
      <c r="H204" s="9">
        <f>H205</f>
        <v>0</v>
      </c>
    </row>
    <row r="205" spans="1:15" ht="25.5" x14ac:dyDescent="0.2">
      <c r="A205" s="28" t="s">
        <v>20</v>
      </c>
      <c r="B205" s="24" t="s">
        <v>44</v>
      </c>
      <c r="C205" s="24" t="s">
        <v>30</v>
      </c>
      <c r="D205" s="24" t="s">
        <v>95</v>
      </c>
      <c r="E205" s="24" t="s">
        <v>12</v>
      </c>
      <c r="F205" s="26"/>
      <c r="G205" s="26"/>
      <c r="H205" s="26"/>
    </row>
    <row r="206" spans="1:15" x14ac:dyDescent="0.2">
      <c r="A206" s="10" t="s">
        <v>302</v>
      </c>
      <c r="B206" s="8" t="s">
        <v>44</v>
      </c>
      <c r="C206" s="8" t="s">
        <v>30</v>
      </c>
      <c r="D206" s="8" t="s">
        <v>303</v>
      </c>
      <c r="E206" s="8"/>
      <c r="F206" s="9">
        <f>F207</f>
        <v>400</v>
      </c>
      <c r="G206" s="9">
        <f>G207</f>
        <v>400</v>
      </c>
      <c r="H206" s="9">
        <f>H207</f>
        <v>400</v>
      </c>
    </row>
    <row r="207" spans="1:15" ht="25.5" x14ac:dyDescent="0.2">
      <c r="A207" s="28" t="s">
        <v>286</v>
      </c>
      <c r="B207" s="24" t="s">
        <v>44</v>
      </c>
      <c r="C207" s="24" t="s">
        <v>30</v>
      </c>
      <c r="D207" s="24" t="s">
        <v>303</v>
      </c>
      <c r="E207" s="24" t="s">
        <v>8</v>
      </c>
      <c r="F207" s="26">
        <v>400</v>
      </c>
      <c r="G207" s="26">
        <v>400</v>
      </c>
      <c r="H207" s="26">
        <v>400</v>
      </c>
    </row>
    <row r="208" spans="1:15" ht="25.5" x14ac:dyDescent="0.2">
      <c r="A208" s="10" t="s">
        <v>306</v>
      </c>
      <c r="B208" s="8" t="s">
        <v>44</v>
      </c>
      <c r="C208" s="8" t="s">
        <v>30</v>
      </c>
      <c r="D208" s="8" t="s">
        <v>304</v>
      </c>
      <c r="E208" s="8"/>
      <c r="F208" s="9">
        <f>F209</f>
        <v>2000</v>
      </c>
      <c r="G208" s="9">
        <f>G209</f>
        <v>2000</v>
      </c>
      <c r="H208" s="9">
        <f>H209</f>
        <v>2000</v>
      </c>
    </row>
    <row r="209" spans="1:8" ht="25.5" x14ac:dyDescent="0.2">
      <c r="A209" s="28" t="s">
        <v>286</v>
      </c>
      <c r="B209" s="24" t="s">
        <v>44</v>
      </c>
      <c r="C209" s="24" t="s">
        <v>30</v>
      </c>
      <c r="D209" s="24" t="s">
        <v>305</v>
      </c>
      <c r="E209" s="24" t="s">
        <v>8</v>
      </c>
      <c r="F209" s="26">
        <v>2000</v>
      </c>
      <c r="G209" s="26">
        <v>2000</v>
      </c>
      <c r="H209" s="26">
        <v>2000</v>
      </c>
    </row>
    <row r="210" spans="1:8" x14ac:dyDescent="0.2">
      <c r="A210" s="10" t="s">
        <v>308</v>
      </c>
      <c r="B210" s="24" t="s">
        <v>44</v>
      </c>
      <c r="C210" s="24" t="s">
        <v>30</v>
      </c>
      <c r="D210" s="8" t="s">
        <v>307</v>
      </c>
      <c r="E210" s="24"/>
      <c r="F210" s="26">
        <f>F211</f>
        <v>1000</v>
      </c>
      <c r="G210" s="26">
        <f>G211</f>
        <v>1000</v>
      </c>
      <c r="H210" s="26">
        <f>H211</f>
        <v>1000</v>
      </c>
    </row>
    <row r="211" spans="1:8" ht="25.5" x14ac:dyDescent="0.2">
      <c r="A211" s="28" t="s">
        <v>286</v>
      </c>
      <c r="B211" s="24" t="s">
        <v>44</v>
      </c>
      <c r="C211" s="24" t="s">
        <v>30</v>
      </c>
      <c r="D211" s="24" t="s">
        <v>307</v>
      </c>
      <c r="E211" s="24" t="s">
        <v>8</v>
      </c>
      <c r="F211" s="26">
        <v>1000</v>
      </c>
      <c r="G211" s="26">
        <v>1000</v>
      </c>
      <c r="H211" s="26">
        <v>1000</v>
      </c>
    </row>
    <row r="212" spans="1:8" ht="25.5" x14ac:dyDescent="0.2">
      <c r="A212" s="10" t="s">
        <v>310</v>
      </c>
      <c r="B212" s="8" t="s">
        <v>44</v>
      </c>
      <c r="C212" s="8" t="s">
        <v>30</v>
      </c>
      <c r="D212" s="6" t="s">
        <v>309</v>
      </c>
      <c r="E212" s="8"/>
      <c r="F212" s="9">
        <f>F213</f>
        <v>6750</v>
      </c>
      <c r="G212" s="9">
        <f>G213</f>
        <v>6750</v>
      </c>
      <c r="H212" s="9">
        <f>H213</f>
        <v>6750</v>
      </c>
    </row>
    <row r="213" spans="1:8" ht="25.5" x14ac:dyDescent="0.2">
      <c r="A213" s="28" t="s">
        <v>286</v>
      </c>
      <c r="B213" s="24" t="s">
        <v>44</v>
      </c>
      <c r="C213" s="24" t="s">
        <v>30</v>
      </c>
      <c r="D213" s="6" t="s">
        <v>309</v>
      </c>
      <c r="E213" s="24" t="s">
        <v>8</v>
      </c>
      <c r="F213" s="26">
        <v>6750</v>
      </c>
      <c r="G213" s="26">
        <v>6750</v>
      </c>
      <c r="H213" s="26">
        <v>6750</v>
      </c>
    </row>
    <row r="214" spans="1:8" ht="25.5" x14ac:dyDescent="0.2">
      <c r="A214" s="14" t="s">
        <v>48</v>
      </c>
      <c r="B214" s="11" t="s">
        <v>44</v>
      </c>
      <c r="C214" s="11" t="s">
        <v>44</v>
      </c>
      <c r="D214" s="11"/>
      <c r="E214" s="11"/>
      <c r="F214" s="12">
        <f>F215+F217+F221</f>
        <v>14946.1</v>
      </c>
      <c r="G214" s="12">
        <f>G215+G217+G221</f>
        <v>14946.1</v>
      </c>
      <c r="H214" s="12">
        <f>H215+H217+H221</f>
        <v>14946.1</v>
      </c>
    </row>
    <row r="215" spans="1:8" ht="38.25" x14ac:dyDescent="0.2">
      <c r="A215" s="10" t="s">
        <v>312</v>
      </c>
      <c r="B215" s="8" t="s">
        <v>44</v>
      </c>
      <c r="C215" s="8" t="s">
        <v>44</v>
      </c>
      <c r="D215" s="8" t="s">
        <v>311</v>
      </c>
      <c r="E215" s="8"/>
      <c r="F215" s="9">
        <f>F216</f>
        <v>4092</v>
      </c>
      <c r="G215" s="9">
        <f>G216</f>
        <v>4092</v>
      </c>
      <c r="H215" s="9">
        <f>H216</f>
        <v>4092</v>
      </c>
    </row>
    <row r="216" spans="1:8" ht="25.5" x14ac:dyDescent="0.2">
      <c r="A216" s="28" t="s">
        <v>286</v>
      </c>
      <c r="B216" s="24" t="s">
        <v>44</v>
      </c>
      <c r="C216" s="24" t="s">
        <v>44</v>
      </c>
      <c r="D216" s="24" t="s">
        <v>311</v>
      </c>
      <c r="E216" s="24" t="s">
        <v>8</v>
      </c>
      <c r="F216" s="26">
        <f>4092</f>
        <v>4092</v>
      </c>
      <c r="G216" s="26">
        <f>4092</f>
        <v>4092</v>
      </c>
      <c r="H216" s="26">
        <f>4092</f>
        <v>4092</v>
      </c>
    </row>
    <row r="217" spans="1:8" ht="25.5" x14ac:dyDescent="0.2">
      <c r="A217" s="10" t="s">
        <v>314</v>
      </c>
      <c r="B217" s="8" t="s">
        <v>44</v>
      </c>
      <c r="C217" s="8" t="s">
        <v>44</v>
      </c>
      <c r="D217" s="8" t="s">
        <v>313</v>
      </c>
      <c r="E217" s="8"/>
      <c r="F217" s="9">
        <f>F218+F219+F220</f>
        <v>2889.8</v>
      </c>
      <c r="G217" s="9">
        <f>G218+G219+G220</f>
        <v>2889.8</v>
      </c>
      <c r="H217" s="9">
        <f>H218+H219+H220</f>
        <v>2889.8</v>
      </c>
    </row>
    <row r="218" spans="1:8" ht="51" x14ac:dyDescent="0.2">
      <c r="A218" s="23" t="s">
        <v>9</v>
      </c>
      <c r="B218" s="24" t="s">
        <v>44</v>
      </c>
      <c r="C218" s="24" t="s">
        <v>44</v>
      </c>
      <c r="D218" s="24" t="s">
        <v>313</v>
      </c>
      <c r="E218" s="24" t="s">
        <v>10</v>
      </c>
      <c r="F218" s="26">
        <f>2098.8+633.8+1</f>
        <v>2733.6000000000004</v>
      </c>
      <c r="G218" s="26">
        <f t="shared" ref="G218:H218" si="29">2098.8+633.8+1</f>
        <v>2733.6000000000004</v>
      </c>
      <c r="H218" s="26">
        <f t="shared" si="29"/>
        <v>2733.6000000000004</v>
      </c>
    </row>
    <row r="219" spans="1:8" ht="25.5" x14ac:dyDescent="0.2">
      <c r="A219" s="28" t="s">
        <v>20</v>
      </c>
      <c r="B219" s="24" t="s">
        <v>44</v>
      </c>
      <c r="C219" s="24" t="s">
        <v>44</v>
      </c>
      <c r="D219" s="24" t="s">
        <v>313</v>
      </c>
      <c r="E219" s="24" t="s">
        <v>12</v>
      </c>
      <c r="F219" s="26">
        <f>155.2</f>
        <v>155.19999999999999</v>
      </c>
      <c r="G219" s="26">
        <f t="shared" ref="G219:H219" si="30">155.2</f>
        <v>155.19999999999999</v>
      </c>
      <c r="H219" s="26">
        <f t="shared" si="30"/>
        <v>155.19999999999999</v>
      </c>
    </row>
    <row r="220" spans="1:8" x14ac:dyDescent="0.2">
      <c r="A220" s="23" t="s">
        <v>16</v>
      </c>
      <c r="B220" s="24" t="s">
        <v>44</v>
      </c>
      <c r="C220" s="24" t="s">
        <v>44</v>
      </c>
      <c r="D220" s="24" t="s">
        <v>313</v>
      </c>
      <c r="E220" s="24" t="s">
        <v>17</v>
      </c>
      <c r="F220" s="26">
        <f>1</f>
        <v>1</v>
      </c>
      <c r="G220" s="26">
        <f>1</f>
        <v>1</v>
      </c>
      <c r="H220" s="26">
        <f>1</f>
        <v>1</v>
      </c>
    </row>
    <row r="221" spans="1:8" ht="38.25" x14ac:dyDescent="0.2">
      <c r="A221" s="10" t="s">
        <v>316</v>
      </c>
      <c r="B221" s="24" t="s">
        <v>44</v>
      </c>
      <c r="C221" s="24" t="s">
        <v>44</v>
      </c>
      <c r="D221" s="8" t="s">
        <v>315</v>
      </c>
      <c r="E221" s="1"/>
      <c r="F221" s="2">
        <f>F222</f>
        <v>7964.3</v>
      </c>
      <c r="G221" s="2">
        <f>G222</f>
        <v>7964.3</v>
      </c>
      <c r="H221" s="2">
        <f>H222</f>
        <v>7964.3</v>
      </c>
    </row>
    <row r="222" spans="1:8" ht="25.5" x14ac:dyDescent="0.2">
      <c r="A222" s="28" t="s">
        <v>286</v>
      </c>
      <c r="B222" s="24" t="s">
        <v>44</v>
      </c>
      <c r="C222" s="24" t="s">
        <v>44</v>
      </c>
      <c r="D222" s="24" t="s">
        <v>315</v>
      </c>
      <c r="E222" s="24" t="s">
        <v>8</v>
      </c>
      <c r="F222" s="26">
        <f>7964.3</f>
        <v>7964.3</v>
      </c>
      <c r="G222" s="26">
        <f t="shared" ref="G222:H222" si="31">7964.3</f>
        <v>7964.3</v>
      </c>
      <c r="H222" s="26">
        <f t="shared" si="31"/>
        <v>7964.3</v>
      </c>
    </row>
    <row r="223" spans="1:8" ht="15.75" x14ac:dyDescent="0.25">
      <c r="A223" s="38" t="s">
        <v>49</v>
      </c>
      <c r="B223" s="36" t="s">
        <v>33</v>
      </c>
      <c r="C223" s="36" t="s">
        <v>26</v>
      </c>
      <c r="D223" s="36"/>
      <c r="E223" s="36"/>
      <c r="F223" s="37">
        <f>F224+F237+F285+F279+F269</f>
        <v>923315.20000000007</v>
      </c>
      <c r="G223" s="37">
        <f t="shared" ref="G223:H223" si="32">G224+G237+G285+G279+G269</f>
        <v>923358.00000000012</v>
      </c>
      <c r="H223" s="37">
        <f t="shared" si="32"/>
        <v>923398.00000000012</v>
      </c>
    </row>
    <row r="224" spans="1:8" x14ac:dyDescent="0.2">
      <c r="A224" s="14" t="s">
        <v>50</v>
      </c>
      <c r="B224" s="11" t="s">
        <v>33</v>
      </c>
      <c r="C224" s="11" t="s">
        <v>25</v>
      </c>
      <c r="D224" s="11"/>
      <c r="E224" s="11"/>
      <c r="F224" s="12">
        <f>F225+F229+F234</f>
        <v>298666.30000000005</v>
      </c>
      <c r="G224" s="12">
        <f>G225+G229+G234</f>
        <v>295859.90000000002</v>
      </c>
      <c r="H224" s="12">
        <f>H225+H229+H234</f>
        <v>297319.90000000002</v>
      </c>
    </row>
    <row r="225" spans="1:8" ht="51" x14ac:dyDescent="0.2">
      <c r="A225" s="10" t="s">
        <v>317</v>
      </c>
      <c r="B225" s="8" t="s">
        <v>33</v>
      </c>
      <c r="C225" s="8" t="s">
        <v>25</v>
      </c>
      <c r="D225" s="8" t="s">
        <v>131</v>
      </c>
      <c r="E225" s="8"/>
      <c r="F225" s="9">
        <f>F228+F226+F227</f>
        <v>189487</v>
      </c>
      <c r="G225" s="9">
        <f>G228+G226+G227</f>
        <v>189487</v>
      </c>
      <c r="H225" s="9">
        <f>H228+H226+H227</f>
        <v>189487</v>
      </c>
    </row>
    <row r="226" spans="1:8" ht="51" x14ac:dyDescent="0.2">
      <c r="A226" s="23" t="s">
        <v>9</v>
      </c>
      <c r="B226" s="24" t="s">
        <v>33</v>
      </c>
      <c r="C226" s="24" t="s">
        <v>25</v>
      </c>
      <c r="D226" s="24" t="s">
        <v>131</v>
      </c>
      <c r="E226" s="25" t="s">
        <v>10</v>
      </c>
      <c r="F226" s="26">
        <f>19607.8+5921.5</f>
        <v>25529.3</v>
      </c>
      <c r="G226" s="26">
        <f>19607.8+5921.5</f>
        <v>25529.3</v>
      </c>
      <c r="H226" s="26">
        <f>19607.8+5921.5</f>
        <v>25529.3</v>
      </c>
    </row>
    <row r="227" spans="1:8" ht="25.5" x14ac:dyDescent="0.2">
      <c r="A227" s="28" t="s">
        <v>20</v>
      </c>
      <c r="B227" s="24" t="s">
        <v>33</v>
      </c>
      <c r="C227" s="24" t="s">
        <v>25</v>
      </c>
      <c r="D227" s="24" t="s">
        <v>131</v>
      </c>
      <c r="E227" s="25" t="s">
        <v>12</v>
      </c>
      <c r="F227" s="26">
        <f>183.1</f>
        <v>183.1</v>
      </c>
      <c r="G227" s="26">
        <f>183.1</f>
        <v>183.1</v>
      </c>
      <c r="H227" s="26">
        <f>183.1</f>
        <v>183.1</v>
      </c>
    </row>
    <row r="228" spans="1:8" ht="25.5" x14ac:dyDescent="0.2">
      <c r="A228" s="28" t="s">
        <v>286</v>
      </c>
      <c r="B228" s="24" t="s">
        <v>33</v>
      </c>
      <c r="C228" s="24" t="s">
        <v>25</v>
      </c>
      <c r="D228" s="24" t="s">
        <v>131</v>
      </c>
      <c r="E228" s="24" t="s">
        <v>8</v>
      </c>
      <c r="F228" s="26">
        <v>163774.6</v>
      </c>
      <c r="G228" s="26">
        <v>163774.6</v>
      </c>
      <c r="H228" s="26">
        <v>163774.6</v>
      </c>
    </row>
    <row r="229" spans="1:8" ht="53.25" customHeight="1" x14ac:dyDescent="0.2">
      <c r="A229" s="10" t="s">
        <v>318</v>
      </c>
      <c r="B229" s="8" t="s">
        <v>33</v>
      </c>
      <c r="C229" s="8" t="s">
        <v>25</v>
      </c>
      <c r="D229" s="8" t="s">
        <v>325</v>
      </c>
      <c r="E229" s="8"/>
      <c r="F229" s="9">
        <f>F232+F231+F230+F233</f>
        <v>103872.9</v>
      </c>
      <c r="G229" s="9">
        <f>G232+G231+G230+G233</f>
        <v>106372.9</v>
      </c>
      <c r="H229" s="9">
        <f>H232+H231+H230+H233</f>
        <v>107832.9</v>
      </c>
    </row>
    <row r="230" spans="1:8" ht="39.75" customHeight="1" x14ac:dyDescent="0.2">
      <c r="A230" s="23" t="s">
        <v>9</v>
      </c>
      <c r="B230" s="24" t="s">
        <v>33</v>
      </c>
      <c r="C230" s="24" t="s">
        <v>25</v>
      </c>
      <c r="D230" s="24" t="s">
        <v>325</v>
      </c>
      <c r="E230" s="25" t="s">
        <v>10</v>
      </c>
      <c r="F230" s="26">
        <f>7002.9</f>
        <v>7002.9</v>
      </c>
      <c r="G230" s="26">
        <f t="shared" ref="G230:H230" si="33">7002.9</f>
        <v>7002.9</v>
      </c>
      <c r="H230" s="26">
        <f t="shared" si="33"/>
        <v>7002.9</v>
      </c>
    </row>
    <row r="231" spans="1:8" ht="25.5" x14ac:dyDescent="0.2">
      <c r="A231" s="28" t="s">
        <v>20</v>
      </c>
      <c r="B231" s="24" t="s">
        <v>33</v>
      </c>
      <c r="C231" s="24" t="s">
        <v>25</v>
      </c>
      <c r="D231" s="24" t="s">
        <v>325</v>
      </c>
      <c r="E231" s="25" t="s">
        <v>12</v>
      </c>
      <c r="F231" s="26">
        <f>3821.9+4028.8</f>
        <v>7850.7000000000007</v>
      </c>
      <c r="G231" s="26">
        <f t="shared" ref="G231:H231" si="34">3821.9+4028.8</f>
        <v>7850.7000000000007</v>
      </c>
      <c r="H231" s="26">
        <f t="shared" si="34"/>
        <v>7850.7000000000007</v>
      </c>
    </row>
    <row r="232" spans="1:8" ht="25.5" x14ac:dyDescent="0.2">
      <c r="A232" s="28" t="s">
        <v>286</v>
      </c>
      <c r="B232" s="24" t="s">
        <v>33</v>
      </c>
      <c r="C232" s="24" t="s">
        <v>25</v>
      </c>
      <c r="D232" s="24" t="s">
        <v>325</v>
      </c>
      <c r="E232" s="24" t="s">
        <v>8</v>
      </c>
      <c r="F232" s="26">
        <f>88902.6</f>
        <v>88902.6</v>
      </c>
      <c r="G232" s="26">
        <f>91402.6</f>
        <v>91402.6</v>
      </c>
      <c r="H232" s="26">
        <f>92862.6</f>
        <v>92862.6</v>
      </c>
    </row>
    <row r="233" spans="1:8" x14ac:dyDescent="0.2">
      <c r="A233" s="28" t="s">
        <v>16</v>
      </c>
      <c r="B233" s="24" t="s">
        <v>33</v>
      </c>
      <c r="C233" s="24" t="s">
        <v>28</v>
      </c>
      <c r="D233" s="24" t="s">
        <v>325</v>
      </c>
      <c r="E233" s="24" t="s">
        <v>17</v>
      </c>
      <c r="F233" s="26">
        <f>116.7</f>
        <v>116.7</v>
      </c>
      <c r="G233" s="26">
        <f t="shared" ref="G233:H233" si="35">116.7</f>
        <v>116.7</v>
      </c>
      <c r="H233" s="26">
        <f t="shared" si="35"/>
        <v>116.7</v>
      </c>
    </row>
    <row r="234" spans="1:8" ht="51.75" customHeight="1" x14ac:dyDescent="0.2">
      <c r="A234" s="10" t="s">
        <v>320</v>
      </c>
      <c r="B234" s="8" t="s">
        <v>33</v>
      </c>
      <c r="C234" s="8" t="s">
        <v>25</v>
      </c>
      <c r="D234" s="8" t="s">
        <v>319</v>
      </c>
      <c r="E234" s="8"/>
      <c r="F234" s="9">
        <f>F236+F235</f>
        <v>5306.4</v>
      </c>
      <c r="G234" s="9">
        <f>G236+G235</f>
        <v>0</v>
      </c>
      <c r="H234" s="9">
        <f>H236+H235</f>
        <v>0</v>
      </c>
    </row>
    <row r="235" spans="1:8" ht="25.5" x14ac:dyDescent="0.2">
      <c r="A235" s="28" t="s">
        <v>78</v>
      </c>
      <c r="B235" s="24" t="s">
        <v>33</v>
      </c>
      <c r="C235" s="24" t="s">
        <v>25</v>
      </c>
      <c r="D235" s="24" t="s">
        <v>319</v>
      </c>
      <c r="E235" s="24" t="s">
        <v>15</v>
      </c>
      <c r="F235" s="26">
        <v>4346.3999999999996</v>
      </c>
      <c r="G235" s="26">
        <v>0</v>
      </c>
      <c r="H235" s="26">
        <v>0</v>
      </c>
    </row>
    <row r="236" spans="1:8" ht="25.5" x14ac:dyDescent="0.2">
      <c r="A236" s="28" t="s">
        <v>286</v>
      </c>
      <c r="B236" s="24" t="s">
        <v>33</v>
      </c>
      <c r="C236" s="24" t="s">
        <v>25</v>
      </c>
      <c r="D236" s="24" t="s">
        <v>319</v>
      </c>
      <c r="E236" s="24" t="s">
        <v>8</v>
      </c>
      <c r="F236" s="26">
        <v>960</v>
      </c>
      <c r="G236" s="26">
        <v>0</v>
      </c>
      <c r="H236" s="26">
        <v>0</v>
      </c>
    </row>
    <row r="237" spans="1:8" x14ac:dyDescent="0.2">
      <c r="A237" s="14" t="s">
        <v>51</v>
      </c>
      <c r="B237" s="11" t="s">
        <v>33</v>
      </c>
      <c r="C237" s="11" t="s">
        <v>28</v>
      </c>
      <c r="D237" s="11"/>
      <c r="E237" s="11"/>
      <c r="F237" s="12">
        <f>F238+F242+F246+F254+F256+F260+F266+F252+F249</f>
        <v>442940.7</v>
      </c>
      <c r="G237" s="12">
        <f>G238+G242+G246+G254+G256+G260+G266+G252+G249</f>
        <v>444429.89999999997</v>
      </c>
      <c r="H237" s="12">
        <f>H238+H242+H246+H254+H256+H260+H266+H252+H249</f>
        <v>444969.89999999997</v>
      </c>
    </row>
    <row r="238" spans="1:8" ht="25.5" x14ac:dyDescent="0.2">
      <c r="A238" s="10" t="s">
        <v>326</v>
      </c>
      <c r="B238" s="8" t="s">
        <v>33</v>
      </c>
      <c r="C238" s="8" t="s">
        <v>28</v>
      </c>
      <c r="D238" s="8" t="s">
        <v>128</v>
      </c>
      <c r="E238" s="8"/>
      <c r="F238" s="9">
        <f>F239+F240+F241</f>
        <v>63155</v>
      </c>
      <c r="G238" s="9">
        <f>G239+G240+G241</f>
        <v>63155</v>
      </c>
      <c r="H238" s="9">
        <f>H239+H240+H241</f>
        <v>63155</v>
      </c>
    </row>
    <row r="239" spans="1:8" ht="51" x14ac:dyDescent="0.2">
      <c r="A239" s="23" t="s">
        <v>9</v>
      </c>
      <c r="B239" s="24" t="s">
        <v>33</v>
      </c>
      <c r="C239" s="24" t="s">
        <v>28</v>
      </c>
      <c r="D239" s="24" t="s">
        <v>128</v>
      </c>
      <c r="E239" s="25" t="s">
        <v>10</v>
      </c>
      <c r="F239" s="26">
        <f>28679.2+8661.1+4.7</f>
        <v>37345</v>
      </c>
      <c r="G239" s="26">
        <f>28679.2+8661.1+4.7</f>
        <v>37345</v>
      </c>
      <c r="H239" s="26">
        <f>28679.2+8661.1+4.7</f>
        <v>37345</v>
      </c>
    </row>
    <row r="240" spans="1:8" ht="25.5" x14ac:dyDescent="0.2">
      <c r="A240" s="28" t="s">
        <v>20</v>
      </c>
      <c r="B240" s="24" t="s">
        <v>33</v>
      </c>
      <c r="C240" s="24" t="s">
        <v>28</v>
      </c>
      <c r="D240" s="24" t="s">
        <v>129</v>
      </c>
      <c r="E240" s="25" t="s">
        <v>12</v>
      </c>
      <c r="F240" s="26">
        <v>23730</v>
      </c>
      <c r="G240" s="26">
        <v>23730</v>
      </c>
      <c r="H240" s="26">
        <v>23730</v>
      </c>
    </row>
    <row r="241" spans="1:8" x14ac:dyDescent="0.2">
      <c r="A241" s="28" t="s">
        <v>16</v>
      </c>
      <c r="B241" s="24" t="s">
        <v>33</v>
      </c>
      <c r="C241" s="24" t="s">
        <v>28</v>
      </c>
      <c r="D241" s="24" t="s">
        <v>128</v>
      </c>
      <c r="E241" s="24" t="s">
        <v>17</v>
      </c>
      <c r="F241" s="26">
        <v>2080</v>
      </c>
      <c r="G241" s="26">
        <v>2080</v>
      </c>
      <c r="H241" s="26">
        <v>2080</v>
      </c>
    </row>
    <row r="242" spans="1:8" ht="63.75" x14ac:dyDescent="0.2">
      <c r="A242" s="10" t="s">
        <v>327</v>
      </c>
      <c r="B242" s="8" t="s">
        <v>33</v>
      </c>
      <c r="C242" s="8" t="s">
        <v>28</v>
      </c>
      <c r="D242" s="8" t="s">
        <v>126</v>
      </c>
      <c r="E242" s="8"/>
      <c r="F242" s="9">
        <f>F243+F244+F245</f>
        <v>318161</v>
      </c>
      <c r="G242" s="9">
        <f>G243+G244+G245</f>
        <v>318161</v>
      </c>
      <c r="H242" s="9">
        <f>H243+H244+H245</f>
        <v>318161</v>
      </c>
    </row>
    <row r="243" spans="1:8" ht="51" x14ac:dyDescent="0.2">
      <c r="A243" s="23" t="s">
        <v>9</v>
      </c>
      <c r="B243" s="24" t="s">
        <v>33</v>
      </c>
      <c r="C243" s="24" t="s">
        <v>28</v>
      </c>
      <c r="D243" s="24" t="s">
        <v>126</v>
      </c>
      <c r="E243" s="25" t="s">
        <v>10</v>
      </c>
      <c r="F243" s="26">
        <f>47964+14485.1</f>
        <v>62449.1</v>
      </c>
      <c r="G243" s="26">
        <f>47964+14485.1</f>
        <v>62449.1</v>
      </c>
      <c r="H243" s="26">
        <f>47964+14485.1</f>
        <v>62449.1</v>
      </c>
    </row>
    <row r="244" spans="1:8" ht="25.5" x14ac:dyDescent="0.2">
      <c r="A244" s="28" t="s">
        <v>20</v>
      </c>
      <c r="B244" s="24" t="s">
        <v>33</v>
      </c>
      <c r="C244" s="24" t="s">
        <v>28</v>
      </c>
      <c r="D244" s="24" t="s">
        <v>126</v>
      </c>
      <c r="E244" s="25" t="s">
        <v>12</v>
      </c>
      <c r="F244" s="26">
        <f>1581.8</f>
        <v>1581.8</v>
      </c>
      <c r="G244" s="26">
        <f>1581.8</f>
        <v>1581.8</v>
      </c>
      <c r="H244" s="26">
        <f>1581.8</f>
        <v>1581.8</v>
      </c>
    </row>
    <row r="245" spans="1:8" ht="25.5" x14ac:dyDescent="0.2">
      <c r="A245" s="28" t="s">
        <v>286</v>
      </c>
      <c r="B245" s="24" t="s">
        <v>33</v>
      </c>
      <c r="C245" s="24" t="s">
        <v>28</v>
      </c>
      <c r="D245" s="24" t="s">
        <v>126</v>
      </c>
      <c r="E245" s="24" t="s">
        <v>8</v>
      </c>
      <c r="F245" s="26">
        <f>254130.1</f>
        <v>254130.1</v>
      </c>
      <c r="G245" s="26">
        <f>254130.1</f>
        <v>254130.1</v>
      </c>
      <c r="H245" s="26">
        <f>254130.1</f>
        <v>254130.1</v>
      </c>
    </row>
    <row r="246" spans="1:8" ht="38.25" x14ac:dyDescent="0.2">
      <c r="A246" s="10" t="s">
        <v>328</v>
      </c>
      <c r="B246" s="8" t="s">
        <v>33</v>
      </c>
      <c r="C246" s="8" t="s">
        <v>28</v>
      </c>
      <c r="D246" s="8" t="s">
        <v>127</v>
      </c>
      <c r="E246" s="8"/>
      <c r="F246" s="9">
        <f>F247+F248</f>
        <v>10243</v>
      </c>
      <c r="G246" s="9">
        <f>G247+G248</f>
        <v>10243</v>
      </c>
      <c r="H246" s="9">
        <f>H247+H248</f>
        <v>10243</v>
      </c>
    </row>
    <row r="247" spans="1:8" ht="51" x14ac:dyDescent="0.2">
      <c r="A247" s="23" t="s">
        <v>9</v>
      </c>
      <c r="B247" s="24" t="s">
        <v>33</v>
      </c>
      <c r="C247" s="24" t="s">
        <v>28</v>
      </c>
      <c r="D247" s="24" t="s">
        <v>127</v>
      </c>
      <c r="E247" s="25" t="s">
        <v>10</v>
      </c>
      <c r="F247" s="26"/>
      <c r="G247" s="26"/>
      <c r="H247" s="26"/>
    </row>
    <row r="248" spans="1:8" ht="25.5" x14ac:dyDescent="0.2">
      <c r="A248" s="28" t="s">
        <v>20</v>
      </c>
      <c r="B248" s="24" t="s">
        <v>33</v>
      </c>
      <c r="C248" s="24" t="s">
        <v>28</v>
      </c>
      <c r="D248" s="24" t="s">
        <v>127</v>
      </c>
      <c r="E248" s="25" t="s">
        <v>12</v>
      </c>
      <c r="F248" s="26">
        <f>10243</f>
        <v>10243</v>
      </c>
      <c r="G248" s="26">
        <f>10243</f>
        <v>10243</v>
      </c>
      <c r="H248" s="26">
        <f>10243</f>
        <v>10243</v>
      </c>
    </row>
    <row r="249" spans="1:8" s="59" customFormat="1" ht="25.5" x14ac:dyDescent="0.2">
      <c r="A249" s="10" t="s">
        <v>329</v>
      </c>
      <c r="B249" s="8" t="s">
        <v>33</v>
      </c>
      <c r="C249" s="8" t="s">
        <v>28</v>
      </c>
      <c r="D249" s="8" t="s">
        <v>148</v>
      </c>
      <c r="E249" s="8"/>
      <c r="F249" s="9">
        <f>F251+F250</f>
        <v>0</v>
      </c>
      <c r="G249" s="9">
        <f>G251+G250</f>
        <v>0</v>
      </c>
      <c r="H249" s="9">
        <f>H251+H250</f>
        <v>0</v>
      </c>
    </row>
    <row r="250" spans="1:8" s="59" customFormat="1" ht="25.5" x14ac:dyDescent="0.2">
      <c r="A250" s="28" t="s">
        <v>20</v>
      </c>
      <c r="B250" s="24" t="s">
        <v>33</v>
      </c>
      <c r="C250" s="24" t="s">
        <v>28</v>
      </c>
      <c r="D250" s="24" t="s">
        <v>148</v>
      </c>
      <c r="E250" s="25" t="s">
        <v>12</v>
      </c>
      <c r="F250" s="26"/>
      <c r="G250" s="26"/>
      <c r="H250" s="26"/>
    </row>
    <row r="251" spans="1:8" s="59" customFormat="1" ht="25.5" x14ac:dyDescent="0.2">
      <c r="A251" s="28" t="s">
        <v>286</v>
      </c>
      <c r="B251" s="24" t="s">
        <v>33</v>
      </c>
      <c r="C251" s="24" t="s">
        <v>28</v>
      </c>
      <c r="D251" s="24" t="s">
        <v>148</v>
      </c>
      <c r="E251" s="24" t="s">
        <v>8</v>
      </c>
      <c r="F251" s="26"/>
      <c r="G251" s="26"/>
      <c r="H251" s="26"/>
    </row>
    <row r="252" spans="1:8" s="59" customFormat="1" ht="25.5" x14ac:dyDescent="0.2">
      <c r="A252" s="10" t="s">
        <v>330</v>
      </c>
      <c r="B252" s="8" t="s">
        <v>33</v>
      </c>
      <c r="C252" s="8" t="s">
        <v>28</v>
      </c>
      <c r="D252" s="8" t="s">
        <v>146</v>
      </c>
      <c r="E252" s="8"/>
      <c r="F252" s="9">
        <f>F253</f>
        <v>0</v>
      </c>
      <c r="G252" s="9">
        <f>G253</f>
        <v>0</v>
      </c>
      <c r="H252" s="9">
        <f>H253</f>
        <v>0</v>
      </c>
    </row>
    <row r="253" spans="1:8" s="59" customFormat="1" ht="25.5" x14ac:dyDescent="0.2">
      <c r="A253" s="28" t="s">
        <v>286</v>
      </c>
      <c r="B253" s="24" t="s">
        <v>33</v>
      </c>
      <c r="C253" s="24" t="s">
        <v>28</v>
      </c>
      <c r="D253" s="24" t="s">
        <v>146</v>
      </c>
      <c r="E253" s="24" t="s">
        <v>8</v>
      </c>
      <c r="F253" s="26"/>
      <c r="G253" s="26"/>
      <c r="H253" s="26"/>
    </row>
    <row r="254" spans="1:8" ht="63.75" x14ac:dyDescent="0.2">
      <c r="A254" s="10" t="s">
        <v>321</v>
      </c>
      <c r="B254" s="8" t="s">
        <v>33</v>
      </c>
      <c r="C254" s="8" t="s">
        <v>28</v>
      </c>
      <c r="D254" s="8" t="s">
        <v>322</v>
      </c>
      <c r="E254" s="8"/>
      <c r="F254" s="9">
        <f>F255</f>
        <v>41352.199999999997</v>
      </c>
      <c r="G254" s="9">
        <f>G255</f>
        <v>42298.6</v>
      </c>
      <c r="H254" s="9">
        <f>H255</f>
        <v>42798.6</v>
      </c>
    </row>
    <row r="255" spans="1:8" ht="25.5" x14ac:dyDescent="0.2">
      <c r="A255" s="28" t="s">
        <v>286</v>
      </c>
      <c r="B255" s="24" t="s">
        <v>33</v>
      </c>
      <c r="C255" s="24" t="s">
        <v>28</v>
      </c>
      <c r="D255" s="24" t="s">
        <v>322</v>
      </c>
      <c r="E255" s="24" t="s">
        <v>8</v>
      </c>
      <c r="F255" s="26">
        <v>41352.199999999997</v>
      </c>
      <c r="G255" s="26">
        <v>42298.6</v>
      </c>
      <c r="H255" s="26">
        <v>42798.6</v>
      </c>
    </row>
    <row r="256" spans="1:8" ht="51" x14ac:dyDescent="0.2">
      <c r="A256" s="10" t="s">
        <v>331</v>
      </c>
      <c r="B256" s="8" t="s">
        <v>33</v>
      </c>
      <c r="C256" s="8" t="s">
        <v>28</v>
      </c>
      <c r="D256" s="8" t="s">
        <v>332</v>
      </c>
      <c r="E256" s="8"/>
      <c r="F256" s="9">
        <f>F257+F258+F259</f>
        <v>8598.2999999999993</v>
      </c>
      <c r="G256" s="9">
        <f>G257+G258+G259</f>
        <v>9098.2999999999993</v>
      </c>
      <c r="H256" s="9">
        <f>H257+H258+H259</f>
        <v>9098.2999999999993</v>
      </c>
    </row>
    <row r="257" spans="1:8" ht="51" x14ac:dyDescent="0.2">
      <c r="A257" s="23" t="s">
        <v>9</v>
      </c>
      <c r="B257" s="24" t="s">
        <v>33</v>
      </c>
      <c r="C257" s="24" t="s">
        <v>28</v>
      </c>
      <c r="D257" s="24" t="s">
        <v>332</v>
      </c>
      <c r="E257" s="25" t="s">
        <v>10</v>
      </c>
      <c r="F257" s="26">
        <v>2.4</v>
      </c>
      <c r="G257" s="26">
        <v>2.4</v>
      </c>
      <c r="H257" s="26">
        <v>2.4</v>
      </c>
    </row>
    <row r="258" spans="1:8" ht="25.5" x14ac:dyDescent="0.2">
      <c r="A258" s="28" t="s">
        <v>20</v>
      </c>
      <c r="B258" s="24" t="s">
        <v>33</v>
      </c>
      <c r="C258" s="24" t="s">
        <v>28</v>
      </c>
      <c r="D258" s="24" t="s">
        <v>332</v>
      </c>
      <c r="E258" s="25" t="s">
        <v>12</v>
      </c>
      <c r="F258" s="26">
        <v>8176.9</v>
      </c>
      <c r="G258" s="26">
        <v>8676.9</v>
      </c>
      <c r="H258" s="26">
        <v>8676.9</v>
      </c>
    </row>
    <row r="259" spans="1:8" x14ac:dyDescent="0.2">
      <c r="A259" s="28" t="s">
        <v>16</v>
      </c>
      <c r="B259" s="24" t="s">
        <v>33</v>
      </c>
      <c r="C259" s="24" t="s">
        <v>28</v>
      </c>
      <c r="D259" s="24" t="s">
        <v>332</v>
      </c>
      <c r="E259" s="24" t="s">
        <v>17</v>
      </c>
      <c r="F259" s="26">
        <v>419</v>
      </c>
      <c r="G259" s="26">
        <v>419</v>
      </c>
      <c r="H259" s="26">
        <v>419</v>
      </c>
    </row>
    <row r="260" spans="1:8" ht="63.75" x14ac:dyDescent="0.2">
      <c r="A260" s="10" t="s">
        <v>336</v>
      </c>
      <c r="B260" s="8" t="s">
        <v>33</v>
      </c>
      <c r="C260" s="8" t="s">
        <v>28</v>
      </c>
      <c r="D260" s="8" t="s">
        <v>335</v>
      </c>
      <c r="E260" s="8"/>
      <c r="F260" s="9">
        <f>F261+F262</f>
        <v>1114.2</v>
      </c>
      <c r="G260" s="9">
        <f>G261+G262</f>
        <v>1157</v>
      </c>
      <c r="H260" s="9">
        <f>H261+H262</f>
        <v>1197</v>
      </c>
    </row>
    <row r="261" spans="1:8" ht="25.5" x14ac:dyDescent="0.2">
      <c r="A261" s="28" t="s">
        <v>20</v>
      </c>
      <c r="B261" s="24" t="s">
        <v>33</v>
      </c>
      <c r="C261" s="24" t="s">
        <v>28</v>
      </c>
      <c r="D261" s="24" t="s">
        <v>335</v>
      </c>
      <c r="E261" s="25" t="s">
        <v>12</v>
      </c>
      <c r="F261" s="26">
        <f>845.2+230</f>
        <v>1075.2</v>
      </c>
      <c r="G261" s="26">
        <f>845.2+230+42.8</f>
        <v>1118</v>
      </c>
      <c r="H261" s="26">
        <f>845.2+230+82.8</f>
        <v>1158</v>
      </c>
    </row>
    <row r="262" spans="1:8" x14ac:dyDescent="0.2">
      <c r="A262" s="28" t="s">
        <v>16</v>
      </c>
      <c r="B262" s="24" t="s">
        <v>33</v>
      </c>
      <c r="C262" s="24" t="s">
        <v>28</v>
      </c>
      <c r="D262" s="24" t="s">
        <v>335</v>
      </c>
      <c r="E262" s="24" t="s">
        <v>17</v>
      </c>
      <c r="F262" s="26">
        <f>39</f>
        <v>39</v>
      </c>
      <c r="G262" s="26">
        <f>39</f>
        <v>39</v>
      </c>
      <c r="H262" s="26">
        <f>39</f>
        <v>39</v>
      </c>
    </row>
    <row r="263" spans="1:8" s="59" customFormat="1" ht="25.5" x14ac:dyDescent="0.2">
      <c r="A263" s="10" t="s">
        <v>339</v>
      </c>
      <c r="B263" s="8" t="s">
        <v>33</v>
      </c>
      <c r="C263" s="8" t="s">
        <v>28</v>
      </c>
      <c r="D263" s="8" t="s">
        <v>149</v>
      </c>
      <c r="E263" s="8"/>
      <c r="F263" s="9">
        <f>F264+F265</f>
        <v>0</v>
      </c>
      <c r="G263" s="9">
        <f>G264+G265</f>
        <v>0</v>
      </c>
      <c r="H263" s="9">
        <f>H264+H265</f>
        <v>0</v>
      </c>
    </row>
    <row r="264" spans="1:8" s="59" customFormat="1" ht="25.5" x14ac:dyDescent="0.2">
      <c r="A264" s="28" t="s">
        <v>286</v>
      </c>
      <c r="B264" s="24" t="s">
        <v>33</v>
      </c>
      <c r="C264" s="24" t="s">
        <v>28</v>
      </c>
      <c r="D264" s="8" t="s">
        <v>149</v>
      </c>
      <c r="E264" s="24" t="s">
        <v>8</v>
      </c>
      <c r="F264" s="26"/>
      <c r="G264" s="26"/>
      <c r="H264" s="26"/>
    </row>
    <row r="265" spans="1:8" s="59" customFormat="1" x14ac:dyDescent="0.2">
      <c r="A265" s="28" t="s">
        <v>13</v>
      </c>
      <c r="B265" s="24" t="s">
        <v>33</v>
      </c>
      <c r="C265" s="24" t="s">
        <v>28</v>
      </c>
      <c r="D265" s="8" t="s">
        <v>149</v>
      </c>
      <c r="E265" s="24" t="s">
        <v>14</v>
      </c>
      <c r="F265" s="26"/>
      <c r="G265" s="26"/>
      <c r="H265" s="26"/>
    </row>
    <row r="266" spans="1:8" ht="25.5" x14ac:dyDescent="0.2">
      <c r="A266" s="10" t="s">
        <v>341</v>
      </c>
      <c r="B266" s="8" t="s">
        <v>33</v>
      </c>
      <c r="C266" s="8" t="s">
        <v>28</v>
      </c>
      <c r="D266" s="8" t="s">
        <v>340</v>
      </c>
      <c r="E266" s="8"/>
      <c r="F266" s="9">
        <f>F268+F267</f>
        <v>317</v>
      </c>
      <c r="G266" s="9">
        <f>G268+G267</f>
        <v>317</v>
      </c>
      <c r="H266" s="9">
        <f>H268+H267</f>
        <v>317</v>
      </c>
    </row>
    <row r="267" spans="1:8" x14ac:dyDescent="0.2">
      <c r="A267" s="28" t="s">
        <v>13</v>
      </c>
      <c r="B267" s="24" t="s">
        <v>33</v>
      </c>
      <c r="C267" s="24" t="s">
        <v>28</v>
      </c>
      <c r="D267" s="8" t="s">
        <v>340</v>
      </c>
      <c r="E267" s="24" t="s">
        <v>14</v>
      </c>
      <c r="F267" s="26">
        <v>6</v>
      </c>
      <c r="G267" s="26">
        <v>6</v>
      </c>
      <c r="H267" s="26">
        <v>6</v>
      </c>
    </row>
    <row r="268" spans="1:8" ht="25.5" x14ac:dyDescent="0.2">
      <c r="A268" s="28" t="s">
        <v>286</v>
      </c>
      <c r="B268" s="24" t="s">
        <v>33</v>
      </c>
      <c r="C268" s="24" t="s">
        <v>28</v>
      </c>
      <c r="D268" s="8" t="s">
        <v>340</v>
      </c>
      <c r="E268" s="24" t="s">
        <v>8</v>
      </c>
      <c r="F268" s="26">
        <v>311</v>
      </c>
      <c r="G268" s="26">
        <v>311</v>
      </c>
      <c r="H268" s="26">
        <v>311</v>
      </c>
    </row>
    <row r="269" spans="1:8" x14ac:dyDescent="0.2">
      <c r="A269" s="14" t="s">
        <v>455</v>
      </c>
      <c r="B269" s="11" t="s">
        <v>33</v>
      </c>
      <c r="C269" s="11" t="s">
        <v>30</v>
      </c>
      <c r="D269" s="11"/>
      <c r="E269" s="11"/>
      <c r="F269" s="12">
        <f>F270+F272+F275+F277</f>
        <v>129468.8</v>
      </c>
      <c r="G269" s="12">
        <f t="shared" ref="G269:H269" si="36">G270+G272+G275+G277</f>
        <v>126528.8</v>
      </c>
      <c r="H269" s="12">
        <f t="shared" si="36"/>
        <v>129568.8</v>
      </c>
    </row>
    <row r="270" spans="1:8" s="7" customFormat="1" ht="25.5" x14ac:dyDescent="0.2">
      <c r="A270" s="5" t="s">
        <v>219</v>
      </c>
      <c r="B270" s="8" t="s">
        <v>33</v>
      </c>
      <c r="C270" s="8" t="s">
        <v>30</v>
      </c>
      <c r="D270" s="8" t="s">
        <v>218</v>
      </c>
      <c r="E270" s="1"/>
      <c r="F270" s="2">
        <f>F271</f>
        <v>20</v>
      </c>
      <c r="G270" s="2">
        <f>G271</f>
        <v>20</v>
      </c>
      <c r="H270" s="2">
        <f>H271</f>
        <v>20</v>
      </c>
    </row>
    <row r="271" spans="1:8" s="27" customFormat="1" ht="25.5" x14ac:dyDescent="0.2">
      <c r="A271" s="28" t="s">
        <v>286</v>
      </c>
      <c r="B271" s="24" t="s">
        <v>33</v>
      </c>
      <c r="C271" s="24" t="s">
        <v>30</v>
      </c>
      <c r="D271" s="24" t="s">
        <v>218</v>
      </c>
      <c r="E271" s="24" t="s">
        <v>8</v>
      </c>
      <c r="F271" s="26">
        <v>20</v>
      </c>
      <c r="G271" s="26">
        <v>20</v>
      </c>
      <c r="H271" s="26">
        <v>20</v>
      </c>
    </row>
    <row r="272" spans="1:8" ht="52.5" customHeight="1" x14ac:dyDescent="0.2">
      <c r="A272" s="10" t="s">
        <v>324</v>
      </c>
      <c r="B272" s="8" t="s">
        <v>33</v>
      </c>
      <c r="C272" s="8" t="s">
        <v>30</v>
      </c>
      <c r="D272" s="8" t="s">
        <v>323</v>
      </c>
      <c r="E272" s="8"/>
      <c r="F272" s="9">
        <f>F274+F273</f>
        <v>104733.40000000001</v>
      </c>
      <c r="G272" s="9">
        <f>G274+G273</f>
        <v>101793.40000000001</v>
      </c>
      <c r="H272" s="9">
        <f>H274+H273</f>
        <v>104833.40000000001</v>
      </c>
    </row>
    <row r="273" spans="1:8" s="27" customFormat="1" x14ac:dyDescent="0.2">
      <c r="A273" s="28" t="s">
        <v>13</v>
      </c>
      <c r="B273" s="24" t="s">
        <v>33</v>
      </c>
      <c r="C273" s="24" t="s">
        <v>30</v>
      </c>
      <c r="D273" s="24" t="s">
        <v>323</v>
      </c>
      <c r="E273" s="25" t="s">
        <v>14</v>
      </c>
      <c r="F273" s="26">
        <f>30</f>
        <v>30</v>
      </c>
      <c r="G273" s="26">
        <f>30</f>
        <v>30</v>
      </c>
      <c r="H273" s="26">
        <f>30</f>
        <v>30</v>
      </c>
    </row>
    <row r="274" spans="1:8" ht="25.5" x14ac:dyDescent="0.2">
      <c r="A274" s="28" t="s">
        <v>286</v>
      </c>
      <c r="B274" s="24" t="s">
        <v>33</v>
      </c>
      <c r="C274" s="24" t="s">
        <v>30</v>
      </c>
      <c r="D274" s="24" t="s">
        <v>323</v>
      </c>
      <c r="E274" s="24" t="s">
        <v>8</v>
      </c>
      <c r="F274" s="26">
        <f>14798.8+89904.6</f>
        <v>104703.40000000001</v>
      </c>
      <c r="G274" s="26">
        <f>14798.8+86964.6</f>
        <v>101763.40000000001</v>
      </c>
      <c r="H274" s="26">
        <f>14798.8+90004.6</f>
        <v>104803.40000000001</v>
      </c>
    </row>
    <row r="275" spans="1:8" ht="25.5" x14ac:dyDescent="0.2">
      <c r="A275" s="10" t="s">
        <v>334</v>
      </c>
      <c r="B275" s="8" t="s">
        <v>33</v>
      </c>
      <c r="C275" s="8" t="s">
        <v>30</v>
      </c>
      <c r="D275" s="8" t="s">
        <v>333</v>
      </c>
      <c r="E275" s="8"/>
      <c r="F275" s="9">
        <f>F276</f>
        <v>132.9</v>
      </c>
      <c r="G275" s="9">
        <f>G276</f>
        <v>132.9</v>
      </c>
      <c r="H275" s="9">
        <f>H276</f>
        <v>132.9</v>
      </c>
    </row>
    <row r="276" spans="1:8" ht="25.5" x14ac:dyDescent="0.2">
      <c r="A276" s="28" t="s">
        <v>286</v>
      </c>
      <c r="B276" s="24" t="s">
        <v>33</v>
      </c>
      <c r="C276" s="24" t="s">
        <v>30</v>
      </c>
      <c r="D276" s="24" t="s">
        <v>333</v>
      </c>
      <c r="E276" s="24" t="s">
        <v>8</v>
      </c>
      <c r="F276" s="26">
        <f>108.7+24.2</f>
        <v>132.9</v>
      </c>
      <c r="G276" s="26">
        <f t="shared" ref="G276:H276" si="37">108.7+24.2</f>
        <v>132.9</v>
      </c>
      <c r="H276" s="26">
        <f t="shared" si="37"/>
        <v>132.9</v>
      </c>
    </row>
    <row r="277" spans="1:8" ht="25.5" x14ac:dyDescent="0.2">
      <c r="A277" s="10" t="s">
        <v>338</v>
      </c>
      <c r="B277" s="8" t="s">
        <v>33</v>
      </c>
      <c r="C277" s="8" t="s">
        <v>30</v>
      </c>
      <c r="D277" s="8" t="s">
        <v>337</v>
      </c>
      <c r="E277" s="8"/>
      <c r="F277" s="9">
        <f>F278</f>
        <v>24582.5</v>
      </c>
      <c r="G277" s="9">
        <f>G278</f>
        <v>24582.5</v>
      </c>
      <c r="H277" s="9">
        <f>H278</f>
        <v>24582.5</v>
      </c>
    </row>
    <row r="278" spans="1:8" ht="25.5" x14ac:dyDescent="0.2">
      <c r="A278" s="28" t="s">
        <v>286</v>
      </c>
      <c r="B278" s="24" t="s">
        <v>33</v>
      </c>
      <c r="C278" s="24" t="s">
        <v>30</v>
      </c>
      <c r="D278" s="24" t="s">
        <v>337</v>
      </c>
      <c r="E278" s="24" t="s">
        <v>8</v>
      </c>
      <c r="F278" s="26">
        <v>24582.5</v>
      </c>
      <c r="G278" s="26">
        <v>24582.5</v>
      </c>
      <c r="H278" s="26">
        <v>24582.5</v>
      </c>
    </row>
    <row r="279" spans="1:8" x14ac:dyDescent="0.2">
      <c r="A279" s="14" t="s">
        <v>52</v>
      </c>
      <c r="B279" s="11" t="s">
        <v>33</v>
      </c>
      <c r="C279" s="11" t="s">
        <v>33</v>
      </c>
      <c r="D279" s="11"/>
      <c r="E279" s="11"/>
      <c r="F279" s="12">
        <f>F282+F280</f>
        <v>254.8</v>
      </c>
      <c r="G279" s="12">
        <f>G282+G280</f>
        <v>254.8</v>
      </c>
      <c r="H279" s="12">
        <f>H282+H280</f>
        <v>254.8</v>
      </c>
    </row>
    <row r="280" spans="1:8" s="59" customFormat="1" x14ac:dyDescent="0.2">
      <c r="A280" s="10" t="s">
        <v>342</v>
      </c>
      <c r="B280" s="8" t="s">
        <v>33</v>
      </c>
      <c r="C280" s="8" t="s">
        <v>33</v>
      </c>
      <c r="D280" s="8" t="s">
        <v>151</v>
      </c>
      <c r="E280" s="8"/>
      <c r="F280" s="9">
        <f>F281</f>
        <v>0</v>
      </c>
      <c r="G280" s="9">
        <f>G281</f>
        <v>0</v>
      </c>
      <c r="H280" s="9">
        <f>H281</f>
        <v>0</v>
      </c>
    </row>
    <row r="281" spans="1:8" s="59" customFormat="1" ht="51" x14ac:dyDescent="0.2">
      <c r="A281" s="29" t="s">
        <v>9</v>
      </c>
      <c r="B281" s="24" t="s">
        <v>33</v>
      </c>
      <c r="C281" s="24" t="s">
        <v>33</v>
      </c>
      <c r="D281" s="24" t="s">
        <v>151</v>
      </c>
      <c r="E281" s="25" t="s">
        <v>10</v>
      </c>
      <c r="F281" s="26"/>
      <c r="G281" s="26"/>
      <c r="H281" s="26"/>
    </row>
    <row r="282" spans="1:8" ht="25.5" x14ac:dyDescent="0.2">
      <c r="A282" s="10" t="s">
        <v>344</v>
      </c>
      <c r="B282" s="8" t="s">
        <v>33</v>
      </c>
      <c r="C282" s="8" t="s">
        <v>33</v>
      </c>
      <c r="D282" s="8" t="s">
        <v>343</v>
      </c>
      <c r="E282" s="8"/>
      <c r="F282" s="9">
        <f>F283+F284</f>
        <v>254.8</v>
      </c>
      <c r="G282" s="9">
        <f t="shared" ref="G282:H282" si="38">G283+G284</f>
        <v>254.8</v>
      </c>
      <c r="H282" s="9">
        <f t="shared" si="38"/>
        <v>254.8</v>
      </c>
    </row>
    <row r="283" spans="1:8" ht="25.5" x14ac:dyDescent="0.2">
      <c r="A283" s="28" t="s">
        <v>20</v>
      </c>
      <c r="B283" s="24" t="s">
        <v>33</v>
      </c>
      <c r="C283" s="24" t="s">
        <v>33</v>
      </c>
      <c r="D283" s="24" t="s">
        <v>343</v>
      </c>
      <c r="E283" s="25" t="s">
        <v>12</v>
      </c>
      <c r="F283" s="26">
        <f>208.8</f>
        <v>208.8</v>
      </c>
      <c r="G283" s="26">
        <f t="shared" ref="G283:H283" si="39">208.8</f>
        <v>208.8</v>
      </c>
      <c r="H283" s="26">
        <f t="shared" si="39"/>
        <v>208.8</v>
      </c>
    </row>
    <row r="284" spans="1:8" x14ac:dyDescent="0.2">
      <c r="A284" s="28" t="s">
        <v>13</v>
      </c>
      <c r="B284" s="24" t="s">
        <v>33</v>
      </c>
      <c r="C284" s="24" t="s">
        <v>33</v>
      </c>
      <c r="D284" s="24" t="s">
        <v>343</v>
      </c>
      <c r="E284" s="25" t="s">
        <v>14</v>
      </c>
      <c r="F284" s="26">
        <f>46</f>
        <v>46</v>
      </c>
      <c r="G284" s="26">
        <f>46</f>
        <v>46</v>
      </c>
      <c r="H284" s="26">
        <f>46</f>
        <v>46</v>
      </c>
    </row>
    <row r="285" spans="1:8" x14ac:dyDescent="0.2">
      <c r="A285" s="14" t="s">
        <v>53</v>
      </c>
      <c r="B285" s="11" t="s">
        <v>33</v>
      </c>
      <c r="C285" s="11" t="s">
        <v>39</v>
      </c>
      <c r="D285" s="11"/>
      <c r="E285" s="11"/>
      <c r="F285" s="12">
        <f>F291+F294+F296+F299+F303+F306+F309+F311+F314+F316+F288+F286</f>
        <v>51984.6</v>
      </c>
      <c r="G285" s="12">
        <f>G291+G294+G296+G299+G303+G306+G309+G311+G314+G316+G288+G286</f>
        <v>56284.6</v>
      </c>
      <c r="H285" s="12">
        <f>H291+H294+H296+H299+H303+H306+H309+H311+H314+H316+H288+H286</f>
        <v>51284.6</v>
      </c>
    </row>
    <row r="286" spans="1:8" x14ac:dyDescent="0.2">
      <c r="A286" s="10" t="s">
        <v>275</v>
      </c>
      <c r="B286" s="8" t="s">
        <v>33</v>
      </c>
      <c r="C286" s="8" t="s">
        <v>39</v>
      </c>
      <c r="D286" s="24" t="s">
        <v>272</v>
      </c>
      <c r="E286" s="8"/>
      <c r="F286" s="9">
        <f>F287</f>
        <v>0</v>
      </c>
      <c r="G286" s="9">
        <f>G287</f>
        <v>5000</v>
      </c>
      <c r="H286" s="9">
        <f>H287</f>
        <v>0</v>
      </c>
    </row>
    <row r="287" spans="1:8" ht="25.5" x14ac:dyDescent="0.2">
      <c r="A287" s="28" t="s">
        <v>78</v>
      </c>
      <c r="B287" s="8" t="s">
        <v>33</v>
      </c>
      <c r="C287" s="8" t="s">
        <v>39</v>
      </c>
      <c r="D287" s="24" t="s">
        <v>272</v>
      </c>
      <c r="E287" s="24" t="s">
        <v>15</v>
      </c>
      <c r="F287" s="26">
        <v>0</v>
      </c>
      <c r="G287" s="26">
        <v>5000</v>
      </c>
      <c r="H287" s="26">
        <v>0</v>
      </c>
    </row>
    <row r="288" spans="1:8" s="59" customFormat="1" ht="25.5" x14ac:dyDescent="0.2">
      <c r="A288" s="10" t="s">
        <v>330</v>
      </c>
      <c r="B288" s="8" t="s">
        <v>33</v>
      </c>
      <c r="C288" s="8" t="s">
        <v>39</v>
      </c>
      <c r="D288" s="8" t="s">
        <v>146</v>
      </c>
      <c r="E288" s="8"/>
      <c r="F288" s="9">
        <f>F290+F289</f>
        <v>0</v>
      </c>
      <c r="G288" s="9">
        <f>G290+G289</f>
        <v>0</v>
      </c>
      <c r="H288" s="9">
        <f>H290+H289</f>
        <v>0</v>
      </c>
    </row>
    <row r="289" spans="1:8" s="59" customFormat="1" x14ac:dyDescent="0.2">
      <c r="A289" s="28" t="s">
        <v>13</v>
      </c>
      <c r="B289" s="24" t="s">
        <v>33</v>
      </c>
      <c r="C289" s="24" t="s">
        <v>39</v>
      </c>
      <c r="D289" s="24" t="s">
        <v>146</v>
      </c>
      <c r="E289" s="24" t="s">
        <v>14</v>
      </c>
      <c r="F289" s="26"/>
      <c r="G289" s="26"/>
      <c r="H289" s="26"/>
    </row>
    <row r="290" spans="1:8" s="59" customFormat="1" ht="25.5" x14ac:dyDescent="0.2">
      <c r="A290" s="28" t="s">
        <v>286</v>
      </c>
      <c r="B290" s="24" t="s">
        <v>33</v>
      </c>
      <c r="C290" s="24" t="s">
        <v>39</v>
      </c>
      <c r="D290" s="24" t="s">
        <v>146</v>
      </c>
      <c r="E290" s="24" t="s">
        <v>8</v>
      </c>
      <c r="F290" s="26"/>
      <c r="G290" s="26"/>
      <c r="H290" s="26"/>
    </row>
    <row r="291" spans="1:8" ht="25.5" x14ac:dyDescent="0.2">
      <c r="A291" s="10" t="s">
        <v>345</v>
      </c>
      <c r="B291" s="1" t="s">
        <v>33</v>
      </c>
      <c r="C291" s="1" t="s">
        <v>39</v>
      </c>
      <c r="D291" s="1" t="s">
        <v>130</v>
      </c>
      <c r="E291" s="8"/>
      <c r="F291" s="9">
        <f>F292+F293</f>
        <v>2419</v>
      </c>
      <c r="G291" s="9">
        <f>G292+G293</f>
        <v>2419</v>
      </c>
      <c r="H291" s="9">
        <f>H292+H293</f>
        <v>2419</v>
      </c>
    </row>
    <row r="292" spans="1:8" ht="51" x14ac:dyDescent="0.2">
      <c r="A292" s="29" t="s">
        <v>9</v>
      </c>
      <c r="B292" s="24" t="s">
        <v>33</v>
      </c>
      <c r="C292" s="24" t="s">
        <v>39</v>
      </c>
      <c r="D292" s="24" t="s">
        <v>130</v>
      </c>
      <c r="E292" s="25" t="s">
        <v>10</v>
      </c>
      <c r="F292" s="26">
        <f>1464.5+442.3+2</f>
        <v>1908.8</v>
      </c>
      <c r="G292" s="26">
        <f>1464.5+442.3+2</f>
        <v>1908.8</v>
      </c>
      <c r="H292" s="26">
        <f>1464.5+442.3+2</f>
        <v>1908.8</v>
      </c>
    </row>
    <row r="293" spans="1:8" ht="25.5" x14ac:dyDescent="0.2">
      <c r="A293" s="28" t="s">
        <v>20</v>
      </c>
      <c r="B293" s="24" t="s">
        <v>33</v>
      </c>
      <c r="C293" s="24" t="s">
        <v>39</v>
      </c>
      <c r="D293" s="24" t="s">
        <v>130</v>
      </c>
      <c r="E293" s="25" t="s">
        <v>12</v>
      </c>
      <c r="F293" s="26">
        <f>510.2</f>
        <v>510.2</v>
      </c>
      <c r="G293" s="26">
        <f>510.2</f>
        <v>510.2</v>
      </c>
      <c r="H293" s="26">
        <f>510.2</f>
        <v>510.2</v>
      </c>
    </row>
    <row r="294" spans="1:8" ht="63.75" x14ac:dyDescent="0.2">
      <c r="A294" s="10" t="s">
        <v>347</v>
      </c>
      <c r="B294" s="8" t="s">
        <v>33</v>
      </c>
      <c r="C294" s="8" t="s">
        <v>39</v>
      </c>
      <c r="D294" s="8" t="s">
        <v>346</v>
      </c>
      <c r="E294" s="8"/>
      <c r="F294" s="9">
        <f>F295</f>
        <v>3360</v>
      </c>
      <c r="G294" s="9">
        <f>G295</f>
        <v>3360</v>
      </c>
      <c r="H294" s="9">
        <f>H295</f>
        <v>3360</v>
      </c>
    </row>
    <row r="295" spans="1:8" ht="25.5" x14ac:dyDescent="0.2">
      <c r="A295" s="28" t="s">
        <v>286</v>
      </c>
      <c r="B295" s="24" t="s">
        <v>33</v>
      </c>
      <c r="C295" s="24" t="s">
        <v>39</v>
      </c>
      <c r="D295" s="24" t="s">
        <v>346</v>
      </c>
      <c r="E295" s="24" t="s">
        <v>8</v>
      </c>
      <c r="F295" s="26">
        <v>3360</v>
      </c>
      <c r="G295" s="26">
        <v>3360</v>
      </c>
      <c r="H295" s="26">
        <v>3360</v>
      </c>
    </row>
    <row r="296" spans="1:8" ht="25.5" x14ac:dyDescent="0.2">
      <c r="A296" s="10" t="s">
        <v>349</v>
      </c>
      <c r="B296" s="8" t="s">
        <v>33</v>
      </c>
      <c r="C296" s="8" t="s">
        <v>39</v>
      </c>
      <c r="D296" s="8" t="s">
        <v>143</v>
      </c>
      <c r="E296" s="8"/>
      <c r="F296" s="9">
        <f>F297+F298</f>
        <v>270.5</v>
      </c>
      <c r="G296" s="9">
        <f>G297+G298</f>
        <v>270.5</v>
      </c>
      <c r="H296" s="9">
        <f>H297+H298</f>
        <v>270.5</v>
      </c>
    </row>
    <row r="297" spans="1:8" ht="25.5" x14ac:dyDescent="0.2">
      <c r="A297" s="28" t="s">
        <v>20</v>
      </c>
      <c r="B297" s="24" t="s">
        <v>33</v>
      </c>
      <c r="C297" s="24" t="s">
        <v>39</v>
      </c>
      <c r="D297" s="24" t="s">
        <v>348</v>
      </c>
      <c r="E297" s="24" t="s">
        <v>12</v>
      </c>
      <c r="F297" s="26">
        <v>76.599999999999994</v>
      </c>
      <c r="G297" s="26">
        <v>76.599999999999994</v>
      </c>
      <c r="H297" s="26">
        <v>76.599999999999994</v>
      </c>
    </row>
    <row r="298" spans="1:8" s="27" customFormat="1" ht="25.5" x14ac:dyDescent="0.2">
      <c r="A298" s="28" t="s">
        <v>286</v>
      </c>
      <c r="B298" s="24" t="s">
        <v>33</v>
      </c>
      <c r="C298" s="24" t="s">
        <v>39</v>
      </c>
      <c r="D298" s="24" t="s">
        <v>348</v>
      </c>
      <c r="E298" s="24" t="s">
        <v>8</v>
      </c>
      <c r="F298" s="26">
        <v>193.9</v>
      </c>
      <c r="G298" s="26">
        <v>193.9</v>
      </c>
      <c r="H298" s="26">
        <v>193.9</v>
      </c>
    </row>
    <row r="299" spans="1:8" ht="25.5" x14ac:dyDescent="0.2">
      <c r="A299" s="10" t="s">
        <v>334</v>
      </c>
      <c r="B299" s="8" t="s">
        <v>33</v>
      </c>
      <c r="C299" s="8" t="s">
        <v>39</v>
      </c>
      <c r="D299" s="8" t="s">
        <v>333</v>
      </c>
      <c r="E299" s="8"/>
      <c r="F299" s="9">
        <f>F302+F301+F300</f>
        <v>1556.8</v>
      </c>
      <c r="G299" s="9">
        <f t="shared" ref="G299:H299" si="40">G302+G301+G300</f>
        <v>1556.8</v>
      </c>
      <c r="H299" s="9">
        <f t="shared" si="40"/>
        <v>1556.8</v>
      </c>
    </row>
    <row r="300" spans="1:8" ht="25.5" x14ac:dyDescent="0.2">
      <c r="A300" s="28" t="s">
        <v>20</v>
      </c>
      <c r="B300" s="24" t="s">
        <v>33</v>
      </c>
      <c r="C300" s="24" t="s">
        <v>39</v>
      </c>
      <c r="D300" s="24" t="s">
        <v>333</v>
      </c>
      <c r="E300" s="24" t="s">
        <v>12</v>
      </c>
      <c r="F300" s="26">
        <v>2</v>
      </c>
      <c r="G300" s="26">
        <v>2</v>
      </c>
      <c r="H300" s="26">
        <v>2</v>
      </c>
    </row>
    <row r="301" spans="1:8" x14ac:dyDescent="0.2">
      <c r="A301" s="28" t="s">
        <v>13</v>
      </c>
      <c r="B301" s="24" t="s">
        <v>33</v>
      </c>
      <c r="C301" s="24" t="s">
        <v>39</v>
      </c>
      <c r="D301" s="24" t="s">
        <v>333</v>
      </c>
      <c r="E301" s="24" t="s">
        <v>14</v>
      </c>
      <c r="F301" s="26">
        <v>1177.8</v>
      </c>
      <c r="G301" s="26">
        <v>1177.8</v>
      </c>
      <c r="H301" s="26">
        <v>1177.8</v>
      </c>
    </row>
    <row r="302" spans="1:8" ht="25.5" x14ac:dyDescent="0.2">
      <c r="A302" s="28" t="s">
        <v>286</v>
      </c>
      <c r="B302" s="24" t="s">
        <v>33</v>
      </c>
      <c r="C302" s="24" t="s">
        <v>39</v>
      </c>
      <c r="D302" s="24" t="s">
        <v>333</v>
      </c>
      <c r="E302" s="24" t="s">
        <v>8</v>
      </c>
      <c r="F302" s="26">
        <v>377</v>
      </c>
      <c r="G302" s="26">
        <v>377</v>
      </c>
      <c r="H302" s="26">
        <v>377</v>
      </c>
    </row>
    <row r="303" spans="1:8" ht="25.5" x14ac:dyDescent="0.2">
      <c r="A303" s="10" t="s">
        <v>450</v>
      </c>
      <c r="B303" s="8" t="s">
        <v>33</v>
      </c>
      <c r="C303" s="8" t="s">
        <v>39</v>
      </c>
      <c r="D303" s="8" t="s">
        <v>451</v>
      </c>
      <c r="E303" s="8"/>
      <c r="F303" s="9">
        <f>F304+F305</f>
        <v>1130.2</v>
      </c>
      <c r="G303" s="9">
        <f>G304+G305</f>
        <v>1130.2</v>
      </c>
      <c r="H303" s="9">
        <f>H304+H305</f>
        <v>1130.2</v>
      </c>
    </row>
    <row r="304" spans="1:8" ht="51" x14ac:dyDescent="0.2">
      <c r="A304" s="23" t="s">
        <v>9</v>
      </c>
      <c r="B304" s="24" t="s">
        <v>33</v>
      </c>
      <c r="C304" s="24" t="s">
        <v>39</v>
      </c>
      <c r="D304" s="24" t="s">
        <v>451</v>
      </c>
      <c r="E304" s="25" t="s">
        <v>10</v>
      </c>
      <c r="F304" s="26"/>
      <c r="G304" s="26"/>
      <c r="H304" s="26"/>
    </row>
    <row r="305" spans="1:8" ht="25.5" x14ac:dyDescent="0.2">
      <c r="A305" s="28" t="s">
        <v>286</v>
      </c>
      <c r="B305" s="24" t="s">
        <v>33</v>
      </c>
      <c r="C305" s="24" t="s">
        <v>39</v>
      </c>
      <c r="D305" s="24" t="s">
        <v>451</v>
      </c>
      <c r="E305" s="25" t="s">
        <v>8</v>
      </c>
      <c r="F305" s="26">
        <v>1130.2</v>
      </c>
      <c r="G305" s="26">
        <v>1130.2</v>
      </c>
      <c r="H305" s="26">
        <v>1130.2</v>
      </c>
    </row>
    <row r="306" spans="1:8" ht="38.25" x14ac:dyDescent="0.2">
      <c r="A306" s="10" t="s">
        <v>351</v>
      </c>
      <c r="B306" s="8" t="s">
        <v>33</v>
      </c>
      <c r="C306" s="8" t="s">
        <v>39</v>
      </c>
      <c r="D306" s="8" t="s">
        <v>350</v>
      </c>
      <c r="E306" s="8"/>
      <c r="F306" s="9">
        <f>F307+F308</f>
        <v>448</v>
      </c>
      <c r="G306" s="9">
        <f>G307+G308</f>
        <v>448</v>
      </c>
      <c r="H306" s="9">
        <f>H307+H308</f>
        <v>448</v>
      </c>
    </row>
    <row r="307" spans="1:8" ht="51" x14ac:dyDescent="0.2">
      <c r="A307" s="23" t="s">
        <v>9</v>
      </c>
      <c r="B307" s="24" t="s">
        <v>33</v>
      </c>
      <c r="C307" s="24" t="s">
        <v>39</v>
      </c>
      <c r="D307" s="24" t="s">
        <v>350</v>
      </c>
      <c r="E307" s="25" t="s">
        <v>10</v>
      </c>
      <c r="F307" s="26">
        <v>26.2</v>
      </c>
      <c r="G307" s="26">
        <v>26.2</v>
      </c>
      <c r="H307" s="26">
        <v>26.2</v>
      </c>
    </row>
    <row r="308" spans="1:8" ht="25.5" x14ac:dyDescent="0.2">
      <c r="A308" s="28" t="s">
        <v>286</v>
      </c>
      <c r="B308" s="24" t="s">
        <v>33</v>
      </c>
      <c r="C308" s="24" t="s">
        <v>39</v>
      </c>
      <c r="D308" s="24" t="s">
        <v>350</v>
      </c>
      <c r="E308" s="24" t="s">
        <v>8</v>
      </c>
      <c r="F308" s="26">
        <v>421.8</v>
      </c>
      <c r="G308" s="26">
        <v>421.8</v>
      </c>
      <c r="H308" s="26">
        <v>421.8</v>
      </c>
    </row>
    <row r="309" spans="1:8" ht="25.5" x14ac:dyDescent="0.2">
      <c r="A309" s="10" t="s">
        <v>353</v>
      </c>
      <c r="B309" s="8" t="s">
        <v>33</v>
      </c>
      <c r="C309" s="8" t="s">
        <v>39</v>
      </c>
      <c r="D309" s="8" t="s">
        <v>352</v>
      </c>
      <c r="E309" s="8"/>
      <c r="F309" s="9">
        <f>F310</f>
        <v>785.2</v>
      </c>
      <c r="G309" s="9">
        <f>G310</f>
        <v>785.2</v>
      </c>
      <c r="H309" s="9">
        <f>H310</f>
        <v>785.2</v>
      </c>
    </row>
    <row r="310" spans="1:8" ht="25.5" x14ac:dyDescent="0.2">
      <c r="A310" s="28" t="s">
        <v>286</v>
      </c>
      <c r="B310" s="24" t="s">
        <v>33</v>
      </c>
      <c r="C310" s="24" t="s">
        <v>39</v>
      </c>
      <c r="D310" s="24" t="s">
        <v>352</v>
      </c>
      <c r="E310" s="24" t="s">
        <v>8</v>
      </c>
      <c r="F310" s="26">
        <v>785.2</v>
      </c>
      <c r="G310" s="26">
        <v>785.2</v>
      </c>
      <c r="H310" s="26">
        <v>785.2</v>
      </c>
    </row>
    <row r="311" spans="1:8" ht="25.5" x14ac:dyDescent="0.2">
      <c r="A311" s="10" t="s">
        <v>355</v>
      </c>
      <c r="B311" s="8" t="s">
        <v>33</v>
      </c>
      <c r="C311" s="8" t="s">
        <v>39</v>
      </c>
      <c r="D311" s="8" t="s">
        <v>354</v>
      </c>
      <c r="E311" s="8"/>
      <c r="F311" s="9">
        <f>F312+F313</f>
        <v>2406.1</v>
      </c>
      <c r="G311" s="9">
        <f>G312+G313</f>
        <v>2406.1</v>
      </c>
      <c r="H311" s="9">
        <f>H312+H313</f>
        <v>2406.1</v>
      </c>
    </row>
    <row r="312" spans="1:8" ht="51" x14ac:dyDescent="0.2">
      <c r="A312" s="23" t="s">
        <v>9</v>
      </c>
      <c r="B312" s="24" t="s">
        <v>33</v>
      </c>
      <c r="C312" s="24" t="s">
        <v>39</v>
      </c>
      <c r="D312" s="24" t="s">
        <v>354</v>
      </c>
      <c r="E312" s="25" t="s">
        <v>10</v>
      </c>
      <c r="F312" s="26">
        <v>2350.1</v>
      </c>
      <c r="G312" s="26">
        <v>2350.1</v>
      </c>
      <c r="H312" s="26">
        <v>2350.1</v>
      </c>
    </row>
    <row r="313" spans="1:8" ht="25.5" x14ac:dyDescent="0.2">
      <c r="A313" s="28" t="s">
        <v>20</v>
      </c>
      <c r="B313" s="24" t="s">
        <v>33</v>
      </c>
      <c r="C313" s="24" t="s">
        <v>39</v>
      </c>
      <c r="D313" s="24" t="s">
        <v>354</v>
      </c>
      <c r="E313" s="25" t="s">
        <v>12</v>
      </c>
      <c r="F313" s="26">
        <v>56</v>
      </c>
      <c r="G313" s="26">
        <v>56</v>
      </c>
      <c r="H313" s="26">
        <v>56</v>
      </c>
    </row>
    <row r="314" spans="1:8" ht="25.5" x14ac:dyDescent="0.2">
      <c r="A314" s="10" t="s">
        <v>357</v>
      </c>
      <c r="B314" s="8" t="s">
        <v>33</v>
      </c>
      <c r="C314" s="8" t="s">
        <v>39</v>
      </c>
      <c r="D314" s="8" t="s">
        <v>356</v>
      </c>
      <c r="E314" s="8"/>
      <c r="F314" s="9">
        <f>F315</f>
        <v>11926.3</v>
      </c>
      <c r="G314" s="9">
        <f>G315</f>
        <v>11926.3</v>
      </c>
      <c r="H314" s="9">
        <f>H315</f>
        <v>11926.3</v>
      </c>
    </row>
    <row r="315" spans="1:8" ht="25.5" x14ac:dyDescent="0.2">
      <c r="A315" s="28" t="s">
        <v>286</v>
      </c>
      <c r="B315" s="24" t="s">
        <v>33</v>
      </c>
      <c r="C315" s="24" t="s">
        <v>39</v>
      </c>
      <c r="D315" s="24" t="s">
        <v>356</v>
      </c>
      <c r="E315" s="24" t="s">
        <v>8</v>
      </c>
      <c r="F315" s="26">
        <v>11926.3</v>
      </c>
      <c r="G315" s="26">
        <v>11926.3</v>
      </c>
      <c r="H315" s="26">
        <v>11926.3</v>
      </c>
    </row>
    <row r="316" spans="1:8" ht="38.25" x14ac:dyDescent="0.2">
      <c r="A316" s="10" t="s">
        <v>359</v>
      </c>
      <c r="B316" s="8" t="s">
        <v>33</v>
      </c>
      <c r="C316" s="8" t="s">
        <v>39</v>
      </c>
      <c r="D316" s="8" t="s">
        <v>358</v>
      </c>
      <c r="E316" s="8"/>
      <c r="F316" s="9">
        <f>F317+F318+F319+F320</f>
        <v>27682.5</v>
      </c>
      <c r="G316" s="9">
        <f>G317+G318+G319+G320</f>
        <v>26982.5</v>
      </c>
      <c r="H316" s="9">
        <f>H317+H318+H319+H320</f>
        <v>26982.5</v>
      </c>
    </row>
    <row r="317" spans="1:8" ht="51" x14ac:dyDescent="0.2">
      <c r="A317" s="23" t="s">
        <v>9</v>
      </c>
      <c r="B317" s="24" t="s">
        <v>33</v>
      </c>
      <c r="C317" s="24" t="s">
        <v>39</v>
      </c>
      <c r="D317" s="24" t="s">
        <v>358</v>
      </c>
      <c r="E317" s="25" t="s">
        <v>10</v>
      </c>
      <c r="F317" s="26">
        <v>3908.7</v>
      </c>
      <c r="G317" s="26">
        <v>3908.7</v>
      </c>
      <c r="H317" s="26">
        <v>3908.7</v>
      </c>
    </row>
    <row r="318" spans="1:8" ht="25.5" x14ac:dyDescent="0.2">
      <c r="A318" s="28" t="s">
        <v>20</v>
      </c>
      <c r="B318" s="24" t="s">
        <v>33</v>
      </c>
      <c r="C318" s="24" t="s">
        <v>39</v>
      </c>
      <c r="D318" s="24" t="s">
        <v>358</v>
      </c>
      <c r="E318" s="25" t="s">
        <v>12</v>
      </c>
      <c r="F318" s="26">
        <v>387</v>
      </c>
      <c r="G318" s="26">
        <v>387</v>
      </c>
      <c r="H318" s="26">
        <v>387</v>
      </c>
    </row>
    <row r="319" spans="1:8" ht="25.5" x14ac:dyDescent="0.2">
      <c r="A319" s="28" t="s">
        <v>286</v>
      </c>
      <c r="B319" s="24" t="s">
        <v>33</v>
      </c>
      <c r="C319" s="24" t="s">
        <v>39</v>
      </c>
      <c r="D319" s="24" t="s">
        <v>358</v>
      </c>
      <c r="E319" s="24" t="s">
        <v>8</v>
      </c>
      <c r="F319" s="26">
        <v>23136.799999999999</v>
      </c>
      <c r="G319" s="26">
        <v>22436.799999999999</v>
      </c>
      <c r="H319" s="26">
        <v>22436.799999999999</v>
      </c>
    </row>
    <row r="320" spans="1:8" x14ac:dyDescent="0.2">
      <c r="A320" s="28" t="s">
        <v>16</v>
      </c>
      <c r="B320" s="24" t="s">
        <v>33</v>
      </c>
      <c r="C320" s="24" t="s">
        <v>39</v>
      </c>
      <c r="D320" s="24" t="s">
        <v>358</v>
      </c>
      <c r="E320" s="24" t="s">
        <v>17</v>
      </c>
      <c r="F320" s="26">
        <v>250</v>
      </c>
      <c r="G320" s="26">
        <v>250</v>
      </c>
      <c r="H320" s="26">
        <v>250</v>
      </c>
    </row>
    <row r="321" spans="1:8" ht="15.75" x14ac:dyDescent="0.25">
      <c r="A321" s="38" t="s">
        <v>63</v>
      </c>
      <c r="B321" s="36" t="s">
        <v>54</v>
      </c>
      <c r="C321" s="36" t="s">
        <v>26</v>
      </c>
      <c r="D321" s="36"/>
      <c r="E321" s="36"/>
      <c r="F321" s="37">
        <f>F322+F337</f>
        <v>42092.2</v>
      </c>
      <c r="G321" s="37">
        <f>G322+G337</f>
        <v>42092.2</v>
      </c>
      <c r="H321" s="37">
        <f>H322+H337</f>
        <v>42092.2</v>
      </c>
    </row>
    <row r="322" spans="1:8" x14ac:dyDescent="0.2">
      <c r="A322" s="14" t="s">
        <v>55</v>
      </c>
      <c r="B322" s="11" t="s">
        <v>54</v>
      </c>
      <c r="C322" s="11" t="s">
        <v>25</v>
      </c>
      <c r="D322" s="11"/>
      <c r="E322" s="11"/>
      <c r="F322" s="12">
        <f>F329+F332+F334+F323+F325+F327</f>
        <v>39345.5</v>
      </c>
      <c r="G322" s="12">
        <f>G329+G332+G334+G323+G325+G327</f>
        <v>39345.5</v>
      </c>
      <c r="H322" s="12">
        <f>H329+H332+H334+H323+H325+H327</f>
        <v>39345.5</v>
      </c>
    </row>
    <row r="323" spans="1:8" ht="25.5" x14ac:dyDescent="0.2">
      <c r="A323" s="10" t="s">
        <v>334</v>
      </c>
      <c r="B323" s="8" t="s">
        <v>54</v>
      </c>
      <c r="C323" s="8" t="s">
        <v>25</v>
      </c>
      <c r="D323" s="8" t="s">
        <v>333</v>
      </c>
      <c r="E323" s="8"/>
      <c r="F323" s="9">
        <f>F324</f>
        <v>0</v>
      </c>
      <c r="G323" s="9">
        <f>G324</f>
        <v>0</v>
      </c>
      <c r="H323" s="9">
        <f>H324</f>
        <v>0</v>
      </c>
    </row>
    <row r="324" spans="1:8" ht="25.5" x14ac:dyDescent="0.2">
      <c r="A324" s="28" t="s">
        <v>286</v>
      </c>
      <c r="B324" s="24" t="s">
        <v>54</v>
      </c>
      <c r="C324" s="24" t="s">
        <v>25</v>
      </c>
      <c r="D324" s="24" t="s">
        <v>333</v>
      </c>
      <c r="E324" s="24" t="s">
        <v>8</v>
      </c>
      <c r="F324" s="26"/>
      <c r="G324" s="26"/>
      <c r="H324" s="26"/>
    </row>
    <row r="325" spans="1:8" ht="38.25" x14ac:dyDescent="0.2">
      <c r="A325" s="10" t="s">
        <v>360</v>
      </c>
      <c r="B325" s="8" t="s">
        <v>54</v>
      </c>
      <c r="C325" s="8" t="s">
        <v>25</v>
      </c>
      <c r="D325" s="8" t="s">
        <v>82</v>
      </c>
      <c r="E325" s="8"/>
      <c r="F325" s="9">
        <f>F326</f>
        <v>0</v>
      </c>
      <c r="G325" s="9">
        <f>G326</f>
        <v>0</v>
      </c>
      <c r="H325" s="9">
        <f>H326</f>
        <v>0</v>
      </c>
    </row>
    <row r="326" spans="1:8" ht="25.5" x14ac:dyDescent="0.2">
      <c r="A326" s="28" t="s">
        <v>286</v>
      </c>
      <c r="B326" s="24" t="s">
        <v>54</v>
      </c>
      <c r="C326" s="24" t="s">
        <v>25</v>
      </c>
      <c r="D326" s="24" t="s">
        <v>82</v>
      </c>
      <c r="E326" s="24" t="s">
        <v>8</v>
      </c>
      <c r="F326" s="26"/>
      <c r="G326" s="26"/>
      <c r="H326" s="26"/>
    </row>
    <row r="327" spans="1:8" s="59" customFormat="1" ht="38.25" x14ac:dyDescent="0.2">
      <c r="A327" s="10" t="s">
        <v>361</v>
      </c>
      <c r="B327" s="8" t="s">
        <v>54</v>
      </c>
      <c r="C327" s="8" t="s">
        <v>25</v>
      </c>
      <c r="D327" s="8" t="s">
        <v>147</v>
      </c>
      <c r="E327" s="8"/>
      <c r="F327" s="9">
        <f>F328</f>
        <v>0</v>
      </c>
      <c r="G327" s="9">
        <f>G328</f>
        <v>0</v>
      </c>
      <c r="H327" s="9">
        <f>H328</f>
        <v>0</v>
      </c>
    </row>
    <row r="328" spans="1:8" s="59" customFormat="1" ht="25.5" x14ac:dyDescent="0.2">
      <c r="A328" s="28" t="s">
        <v>286</v>
      </c>
      <c r="B328" s="24" t="s">
        <v>54</v>
      </c>
      <c r="C328" s="24" t="s">
        <v>25</v>
      </c>
      <c r="D328" s="24" t="s">
        <v>147</v>
      </c>
      <c r="E328" s="24" t="s">
        <v>8</v>
      </c>
      <c r="F328" s="26"/>
      <c r="G328" s="26"/>
      <c r="H328" s="26"/>
    </row>
    <row r="329" spans="1:8" x14ac:dyDescent="0.2">
      <c r="A329" s="10" t="s">
        <v>363</v>
      </c>
      <c r="B329" s="8" t="s">
        <v>54</v>
      </c>
      <c r="C329" s="8" t="s">
        <v>25</v>
      </c>
      <c r="D329" s="8" t="s">
        <v>362</v>
      </c>
      <c r="E329" s="8"/>
      <c r="F329" s="9">
        <f>F331+F330</f>
        <v>27815.9</v>
      </c>
      <c r="G329" s="9">
        <f>G331+G330</f>
        <v>27815.9</v>
      </c>
      <c r="H329" s="9">
        <f>H331+H330</f>
        <v>27815.9</v>
      </c>
    </row>
    <row r="330" spans="1:8" x14ac:dyDescent="0.2">
      <c r="A330" s="28" t="s">
        <v>13</v>
      </c>
      <c r="B330" s="24" t="s">
        <v>54</v>
      </c>
      <c r="C330" s="24" t="s">
        <v>25</v>
      </c>
      <c r="D330" s="24" t="s">
        <v>362</v>
      </c>
      <c r="E330" s="25" t="s">
        <v>14</v>
      </c>
      <c r="F330" s="26">
        <v>15</v>
      </c>
      <c r="G330" s="26">
        <v>15</v>
      </c>
      <c r="H330" s="26">
        <v>15</v>
      </c>
    </row>
    <row r="331" spans="1:8" ht="25.5" x14ac:dyDescent="0.2">
      <c r="A331" s="28" t="s">
        <v>286</v>
      </c>
      <c r="B331" s="24" t="s">
        <v>54</v>
      </c>
      <c r="C331" s="24" t="s">
        <v>25</v>
      </c>
      <c r="D331" s="24" t="s">
        <v>362</v>
      </c>
      <c r="E331" s="24" t="s">
        <v>8</v>
      </c>
      <c r="F331" s="26">
        <v>27800.9</v>
      </c>
      <c r="G331" s="26">
        <v>27800.9</v>
      </c>
      <c r="H331" s="26">
        <v>27800.9</v>
      </c>
    </row>
    <row r="332" spans="1:8" x14ac:dyDescent="0.2">
      <c r="A332" s="10" t="s">
        <v>365</v>
      </c>
      <c r="B332" s="8" t="s">
        <v>54</v>
      </c>
      <c r="C332" s="8" t="s">
        <v>25</v>
      </c>
      <c r="D332" s="8" t="s">
        <v>364</v>
      </c>
      <c r="E332" s="8"/>
      <c r="F332" s="9">
        <f>F333</f>
        <v>2172.8000000000002</v>
      </c>
      <c r="G332" s="9">
        <f>G333</f>
        <v>2172.8000000000002</v>
      </c>
      <c r="H332" s="9">
        <f>H333</f>
        <v>2172.8000000000002</v>
      </c>
    </row>
    <row r="333" spans="1:8" ht="25.5" x14ac:dyDescent="0.2">
      <c r="A333" s="28" t="s">
        <v>286</v>
      </c>
      <c r="B333" s="24" t="s">
        <v>54</v>
      </c>
      <c r="C333" s="24" t="s">
        <v>25</v>
      </c>
      <c r="D333" s="24" t="s">
        <v>364</v>
      </c>
      <c r="E333" s="24" t="s">
        <v>8</v>
      </c>
      <c r="F333" s="26">
        <v>2172.8000000000002</v>
      </c>
      <c r="G333" s="26">
        <v>2172.8000000000002</v>
      </c>
      <c r="H333" s="26">
        <v>2172.8000000000002</v>
      </c>
    </row>
    <row r="334" spans="1:8" x14ac:dyDescent="0.2">
      <c r="A334" s="10" t="s">
        <v>366</v>
      </c>
      <c r="B334" s="8" t="s">
        <v>54</v>
      </c>
      <c r="C334" s="8" t="s">
        <v>25</v>
      </c>
      <c r="D334" s="8" t="s">
        <v>367</v>
      </c>
      <c r="E334" s="8"/>
      <c r="F334" s="9">
        <f>F336+F335</f>
        <v>9356.7999999999993</v>
      </c>
      <c r="G334" s="9">
        <f>G336+G335</f>
        <v>9356.7999999999993</v>
      </c>
      <c r="H334" s="9">
        <f>H336+H335</f>
        <v>9356.7999999999993</v>
      </c>
    </row>
    <row r="335" spans="1:8" x14ac:dyDescent="0.2">
      <c r="A335" s="28" t="s">
        <v>13</v>
      </c>
      <c r="B335" s="24" t="s">
        <v>54</v>
      </c>
      <c r="C335" s="24" t="s">
        <v>25</v>
      </c>
      <c r="D335" s="24" t="s">
        <v>367</v>
      </c>
      <c r="E335" s="25" t="s">
        <v>14</v>
      </c>
      <c r="F335" s="26">
        <f>15</f>
        <v>15</v>
      </c>
      <c r="G335" s="26">
        <f>15</f>
        <v>15</v>
      </c>
      <c r="H335" s="26">
        <f>15</f>
        <v>15</v>
      </c>
    </row>
    <row r="336" spans="1:8" ht="25.5" x14ac:dyDescent="0.2">
      <c r="A336" s="28" t="s">
        <v>286</v>
      </c>
      <c r="B336" s="24" t="s">
        <v>54</v>
      </c>
      <c r="C336" s="24" t="s">
        <v>25</v>
      </c>
      <c r="D336" s="24" t="s">
        <v>367</v>
      </c>
      <c r="E336" s="24" t="s">
        <v>8</v>
      </c>
      <c r="F336" s="26">
        <f>9341.8</f>
        <v>9341.7999999999993</v>
      </c>
      <c r="G336" s="26">
        <f t="shared" ref="G336:H336" si="41">9341.8</f>
        <v>9341.7999999999993</v>
      </c>
      <c r="H336" s="26">
        <f t="shared" si="41"/>
        <v>9341.7999999999993</v>
      </c>
    </row>
    <row r="337" spans="1:8" x14ac:dyDescent="0.2">
      <c r="A337" s="14" t="s">
        <v>64</v>
      </c>
      <c r="B337" s="11" t="s">
        <v>54</v>
      </c>
      <c r="C337" s="11" t="s">
        <v>32</v>
      </c>
      <c r="D337" s="11"/>
      <c r="E337" s="11"/>
      <c r="F337" s="12">
        <f>F338+F342</f>
        <v>2746.7000000000003</v>
      </c>
      <c r="G337" s="12">
        <f>G338+G342</f>
        <v>2746.7000000000003</v>
      </c>
      <c r="H337" s="12">
        <f>H338+H342</f>
        <v>2746.7000000000003</v>
      </c>
    </row>
    <row r="338" spans="1:8" x14ac:dyDescent="0.2">
      <c r="A338" s="10" t="s">
        <v>369</v>
      </c>
      <c r="B338" s="8" t="s">
        <v>54</v>
      </c>
      <c r="C338" s="8" t="s">
        <v>32</v>
      </c>
      <c r="D338" s="8" t="s">
        <v>368</v>
      </c>
      <c r="E338" s="8"/>
      <c r="F338" s="9">
        <f>F339+F340+F341</f>
        <v>719.1</v>
      </c>
      <c r="G338" s="9">
        <f>G339+G340+G341</f>
        <v>719.1</v>
      </c>
      <c r="H338" s="9">
        <f>H339+H340+H341</f>
        <v>719.1</v>
      </c>
    </row>
    <row r="339" spans="1:8" ht="51" x14ac:dyDescent="0.2">
      <c r="A339" s="23" t="s">
        <v>9</v>
      </c>
      <c r="B339" s="24" t="s">
        <v>54</v>
      </c>
      <c r="C339" s="24" t="s">
        <v>32</v>
      </c>
      <c r="D339" s="24" t="s">
        <v>368</v>
      </c>
      <c r="E339" s="25" t="s">
        <v>10</v>
      </c>
      <c r="F339" s="26">
        <v>624.5</v>
      </c>
      <c r="G339" s="26">
        <v>624.5</v>
      </c>
      <c r="H339" s="26">
        <v>624.5</v>
      </c>
    </row>
    <row r="340" spans="1:8" ht="25.5" x14ac:dyDescent="0.2">
      <c r="A340" s="28" t="s">
        <v>20</v>
      </c>
      <c r="B340" s="24" t="s">
        <v>54</v>
      </c>
      <c r="C340" s="24" t="s">
        <v>32</v>
      </c>
      <c r="D340" s="24" t="s">
        <v>368</v>
      </c>
      <c r="E340" s="25" t="s">
        <v>12</v>
      </c>
      <c r="F340" s="26">
        <v>85.9</v>
      </c>
      <c r="G340" s="26">
        <v>85.9</v>
      </c>
      <c r="H340" s="26">
        <v>85.9</v>
      </c>
    </row>
    <row r="341" spans="1:8" x14ac:dyDescent="0.2">
      <c r="A341" s="28" t="s">
        <v>16</v>
      </c>
      <c r="B341" s="24" t="s">
        <v>54</v>
      </c>
      <c r="C341" s="24" t="s">
        <v>32</v>
      </c>
      <c r="D341" s="24" t="s">
        <v>368</v>
      </c>
      <c r="E341" s="24" t="s">
        <v>17</v>
      </c>
      <c r="F341" s="26">
        <v>8.6999999999999993</v>
      </c>
      <c r="G341" s="26">
        <v>8.6999999999999993</v>
      </c>
      <c r="H341" s="26">
        <v>8.6999999999999993</v>
      </c>
    </row>
    <row r="342" spans="1:8" x14ac:dyDescent="0.2">
      <c r="A342" s="10" t="s">
        <v>371</v>
      </c>
      <c r="B342" s="8" t="s">
        <v>54</v>
      </c>
      <c r="C342" s="8" t="s">
        <v>32</v>
      </c>
      <c r="D342" s="8" t="s">
        <v>370</v>
      </c>
      <c r="E342" s="8"/>
      <c r="F342" s="9">
        <f>F343+F344+F345</f>
        <v>2027.6000000000001</v>
      </c>
      <c r="G342" s="9">
        <f t="shared" ref="G342:H342" si="42">G343+G344+G345</f>
        <v>2027.6000000000001</v>
      </c>
      <c r="H342" s="9">
        <f t="shared" si="42"/>
        <v>2027.6000000000001</v>
      </c>
    </row>
    <row r="343" spans="1:8" ht="51" x14ac:dyDescent="0.2">
      <c r="A343" s="23" t="s">
        <v>9</v>
      </c>
      <c r="B343" s="24" t="s">
        <v>54</v>
      </c>
      <c r="C343" s="24" t="s">
        <v>32</v>
      </c>
      <c r="D343" s="24" t="s">
        <v>370</v>
      </c>
      <c r="E343" s="25" t="s">
        <v>10</v>
      </c>
      <c r="F343" s="26">
        <v>1773.9</v>
      </c>
      <c r="G343" s="26">
        <v>1773.9</v>
      </c>
      <c r="H343" s="26">
        <v>1773.9</v>
      </c>
    </row>
    <row r="344" spans="1:8" ht="25.5" x14ac:dyDescent="0.2">
      <c r="A344" s="28" t="s">
        <v>20</v>
      </c>
      <c r="B344" s="24" t="s">
        <v>54</v>
      </c>
      <c r="C344" s="24" t="s">
        <v>32</v>
      </c>
      <c r="D344" s="24" t="s">
        <v>370</v>
      </c>
      <c r="E344" s="25" t="s">
        <v>12</v>
      </c>
      <c r="F344" s="26">
        <v>253.4</v>
      </c>
      <c r="G344" s="26">
        <v>253.4</v>
      </c>
      <c r="H344" s="26">
        <v>253.4</v>
      </c>
    </row>
    <row r="345" spans="1:8" x14ac:dyDescent="0.2">
      <c r="A345" s="28" t="s">
        <v>16</v>
      </c>
      <c r="B345" s="24" t="s">
        <v>54</v>
      </c>
      <c r="C345" s="24" t="s">
        <v>32</v>
      </c>
      <c r="D345" s="24" t="s">
        <v>370</v>
      </c>
      <c r="E345" s="25" t="s">
        <v>17</v>
      </c>
      <c r="F345" s="26">
        <v>0.3</v>
      </c>
      <c r="G345" s="26">
        <v>0.3</v>
      </c>
      <c r="H345" s="26">
        <v>0.3</v>
      </c>
    </row>
    <row r="346" spans="1:8" ht="15.75" x14ac:dyDescent="0.25">
      <c r="A346" s="38" t="s">
        <v>59</v>
      </c>
      <c r="B346" s="36" t="s">
        <v>58</v>
      </c>
      <c r="C346" s="36" t="s">
        <v>26</v>
      </c>
      <c r="D346" s="36"/>
      <c r="E346" s="36"/>
      <c r="F346" s="37">
        <f>F347+F351+F361+F460+F486</f>
        <v>670678</v>
      </c>
      <c r="G346" s="37">
        <f>G347+G351+G361+G460+G486</f>
        <v>662251.80000000005</v>
      </c>
      <c r="H346" s="37">
        <f>H347+H351+H361+H460+H486</f>
        <v>662863.60000000009</v>
      </c>
    </row>
    <row r="347" spans="1:8" x14ac:dyDescent="0.2">
      <c r="A347" s="14" t="s">
        <v>60</v>
      </c>
      <c r="B347" s="11" t="s">
        <v>58</v>
      </c>
      <c r="C347" s="11" t="s">
        <v>25</v>
      </c>
      <c r="D347" s="11"/>
      <c r="E347" s="11"/>
      <c r="F347" s="12">
        <f>F348</f>
        <v>5694.1</v>
      </c>
      <c r="G347" s="12">
        <f>G348</f>
        <v>5694.1</v>
      </c>
      <c r="H347" s="12">
        <f>H348</f>
        <v>5694.1</v>
      </c>
    </row>
    <row r="348" spans="1:8" ht="76.5" x14ac:dyDescent="0.2">
      <c r="A348" s="10" t="s">
        <v>444</v>
      </c>
      <c r="B348" s="8" t="s">
        <v>58</v>
      </c>
      <c r="C348" s="8" t="s">
        <v>25</v>
      </c>
      <c r="D348" s="8" t="s">
        <v>374</v>
      </c>
      <c r="E348" s="8"/>
      <c r="F348" s="9">
        <f>F350+F349</f>
        <v>5694.1</v>
      </c>
      <c r="G348" s="9">
        <f>G350+G349</f>
        <v>5694.1</v>
      </c>
      <c r="H348" s="9">
        <f>H350+H349</f>
        <v>5694.1</v>
      </c>
    </row>
    <row r="349" spans="1:8" ht="25.5" x14ac:dyDescent="0.2">
      <c r="A349" s="28" t="s">
        <v>20</v>
      </c>
      <c r="B349" s="24" t="s">
        <v>58</v>
      </c>
      <c r="C349" s="24" t="s">
        <v>25</v>
      </c>
      <c r="D349" s="24" t="s">
        <v>374</v>
      </c>
      <c r="E349" s="25" t="s">
        <v>12</v>
      </c>
      <c r="F349" s="26">
        <v>28.3</v>
      </c>
      <c r="G349" s="26">
        <v>28.3</v>
      </c>
      <c r="H349" s="26">
        <v>28.3</v>
      </c>
    </row>
    <row r="350" spans="1:8" x14ac:dyDescent="0.2">
      <c r="A350" s="28" t="s">
        <v>13</v>
      </c>
      <c r="B350" s="24" t="s">
        <v>58</v>
      </c>
      <c r="C350" s="24" t="s">
        <v>25</v>
      </c>
      <c r="D350" s="24" t="s">
        <v>374</v>
      </c>
      <c r="E350" s="24" t="s">
        <v>14</v>
      </c>
      <c r="F350" s="26">
        <v>5665.8</v>
      </c>
      <c r="G350" s="26">
        <v>5665.8</v>
      </c>
      <c r="H350" s="26">
        <v>5665.8</v>
      </c>
    </row>
    <row r="351" spans="1:8" x14ac:dyDescent="0.2">
      <c r="A351" s="14" t="s">
        <v>61</v>
      </c>
      <c r="B351" s="11" t="s">
        <v>58</v>
      </c>
      <c r="C351" s="11" t="s">
        <v>28</v>
      </c>
      <c r="D351" s="11"/>
      <c r="E351" s="11"/>
      <c r="F351" s="12">
        <f>F352+F354+F358</f>
        <v>112220</v>
      </c>
      <c r="G351" s="12">
        <f>G352+G354+G358</f>
        <v>111866.9</v>
      </c>
      <c r="H351" s="12">
        <f>H352+H354+H358</f>
        <v>111788.70000000001</v>
      </c>
    </row>
    <row r="352" spans="1:8" ht="51" x14ac:dyDescent="0.2">
      <c r="A352" s="10" t="s">
        <v>375</v>
      </c>
      <c r="B352" s="8" t="s">
        <v>58</v>
      </c>
      <c r="C352" s="8" t="s">
        <v>28</v>
      </c>
      <c r="D352" s="8" t="s">
        <v>103</v>
      </c>
      <c r="E352" s="8"/>
      <c r="F352" s="9">
        <f>F353</f>
        <v>75409</v>
      </c>
      <c r="G352" s="9">
        <f>G353</f>
        <v>75201</v>
      </c>
      <c r="H352" s="9">
        <f>H353</f>
        <v>75155</v>
      </c>
    </row>
    <row r="353" spans="1:11" ht="25.5" x14ac:dyDescent="0.2">
      <c r="A353" s="28" t="s">
        <v>286</v>
      </c>
      <c r="B353" s="24" t="s">
        <v>58</v>
      </c>
      <c r="C353" s="24" t="s">
        <v>28</v>
      </c>
      <c r="D353" s="24" t="s">
        <v>104</v>
      </c>
      <c r="E353" s="24" t="s">
        <v>8</v>
      </c>
      <c r="F353" s="26">
        <f>75409</f>
        <v>75409</v>
      </c>
      <c r="G353" s="26">
        <f>75201</f>
        <v>75201</v>
      </c>
      <c r="H353" s="26">
        <f>75155</f>
        <v>75155</v>
      </c>
    </row>
    <row r="354" spans="1:11" ht="63.75" x14ac:dyDescent="0.2">
      <c r="A354" s="10" t="s">
        <v>376</v>
      </c>
      <c r="B354" s="8" t="s">
        <v>58</v>
      </c>
      <c r="C354" s="8" t="s">
        <v>28</v>
      </c>
      <c r="D354" s="8" t="s">
        <v>106</v>
      </c>
      <c r="E354" s="8"/>
      <c r="F354" s="9">
        <f>F355+F356+F357</f>
        <v>36780</v>
      </c>
      <c r="G354" s="9">
        <f>G355+G356+G357</f>
        <v>36634.9</v>
      </c>
      <c r="H354" s="9">
        <f>H355+H356+H357</f>
        <v>36602.700000000004</v>
      </c>
    </row>
    <row r="355" spans="1:11" ht="51" x14ac:dyDescent="0.2">
      <c r="A355" s="23" t="s">
        <v>9</v>
      </c>
      <c r="B355" s="24" t="s">
        <v>58</v>
      </c>
      <c r="C355" s="24" t="s">
        <v>28</v>
      </c>
      <c r="D355" s="24" t="s">
        <v>106</v>
      </c>
      <c r="E355" s="25" t="s">
        <v>10</v>
      </c>
      <c r="F355" s="26">
        <f>23374.8+7059.2+5.8</f>
        <v>30439.8</v>
      </c>
      <c r="G355" s="26">
        <f>23374.8+7059.2+4.7</f>
        <v>30438.7</v>
      </c>
      <c r="H355" s="26">
        <f>23374.8+7059.2+4.7</f>
        <v>30438.7</v>
      </c>
    </row>
    <row r="356" spans="1:11" ht="25.5" x14ac:dyDescent="0.2">
      <c r="A356" s="28" t="s">
        <v>20</v>
      </c>
      <c r="B356" s="24" t="s">
        <v>58</v>
      </c>
      <c r="C356" s="24" t="s">
        <v>28</v>
      </c>
      <c r="D356" s="24" t="s">
        <v>106</v>
      </c>
      <c r="E356" s="25" t="s">
        <v>12</v>
      </c>
      <c r="F356" s="26">
        <f>6065.2</f>
        <v>6065.2</v>
      </c>
      <c r="G356" s="26">
        <f>5921.2</f>
        <v>5921.2</v>
      </c>
      <c r="H356" s="26">
        <f>5891.2</f>
        <v>5891.2</v>
      </c>
    </row>
    <row r="357" spans="1:11" x14ac:dyDescent="0.2">
      <c r="A357" s="28" t="s">
        <v>16</v>
      </c>
      <c r="B357" s="24" t="s">
        <v>58</v>
      </c>
      <c r="C357" s="24" t="s">
        <v>28</v>
      </c>
      <c r="D357" s="24" t="s">
        <v>106</v>
      </c>
      <c r="E357" s="24" t="s">
        <v>17</v>
      </c>
      <c r="F357" s="26">
        <f>275</f>
        <v>275</v>
      </c>
      <c r="G357" s="26">
        <f>275</f>
        <v>275</v>
      </c>
      <c r="H357" s="26">
        <f>272.8</f>
        <v>272.8</v>
      </c>
    </row>
    <row r="358" spans="1:11" ht="25.5" x14ac:dyDescent="0.2">
      <c r="A358" s="10" t="s">
        <v>378</v>
      </c>
      <c r="B358" s="8" t="s">
        <v>58</v>
      </c>
      <c r="C358" s="8" t="s">
        <v>28</v>
      </c>
      <c r="D358" s="8" t="s">
        <v>377</v>
      </c>
      <c r="E358" s="8"/>
      <c r="F358" s="9">
        <f>F359+F360</f>
        <v>31</v>
      </c>
      <c r="G358" s="9">
        <f>G359+G360</f>
        <v>31</v>
      </c>
      <c r="H358" s="9">
        <f>H359+H360</f>
        <v>31</v>
      </c>
    </row>
    <row r="359" spans="1:11" ht="51" x14ac:dyDescent="0.2">
      <c r="A359" s="23" t="s">
        <v>9</v>
      </c>
      <c r="B359" s="24" t="s">
        <v>58</v>
      </c>
      <c r="C359" s="24" t="s">
        <v>28</v>
      </c>
      <c r="D359" s="24" t="s">
        <v>377</v>
      </c>
      <c r="E359" s="25" t="s">
        <v>10</v>
      </c>
      <c r="F359" s="26">
        <f>17.2</f>
        <v>17.2</v>
      </c>
      <c r="G359" s="26">
        <f t="shared" ref="G359:H359" si="43">17.2</f>
        <v>17.2</v>
      </c>
      <c r="H359" s="26">
        <f t="shared" si="43"/>
        <v>17.2</v>
      </c>
    </row>
    <row r="360" spans="1:11" ht="25.5" x14ac:dyDescent="0.2">
      <c r="A360" s="28" t="s">
        <v>20</v>
      </c>
      <c r="B360" s="24" t="s">
        <v>58</v>
      </c>
      <c r="C360" s="24" t="s">
        <v>28</v>
      </c>
      <c r="D360" s="24" t="s">
        <v>377</v>
      </c>
      <c r="E360" s="25" t="s">
        <v>12</v>
      </c>
      <c r="F360" s="26">
        <v>13.8</v>
      </c>
      <c r="G360" s="26">
        <v>13.8</v>
      </c>
      <c r="H360" s="26">
        <v>13.8</v>
      </c>
    </row>
    <row r="361" spans="1:11" x14ac:dyDescent="0.2">
      <c r="A361" s="14" t="s">
        <v>62</v>
      </c>
      <c r="B361" s="11" t="s">
        <v>58</v>
      </c>
      <c r="C361" s="11" t="s">
        <v>30</v>
      </c>
      <c r="D361" s="11"/>
      <c r="E361" s="11"/>
      <c r="F361" s="12">
        <f>F364+F368+F370+F375+F377+F373+F382+F384+F386+F388+F393+F396+F399+F402+F406+F410+F417+F421+F425+F428+F432+F435+F437+F439+F442+F445+F448+F451+F454+F457+F414+F390+F379+F362+F366</f>
        <v>347783.39999999997</v>
      </c>
      <c r="G361" s="12">
        <f>G364+G368+G370+G375+G377+G373+G382+G384+G386+G388+G393+G396+G399+G402+G406+G410+G417+G421+G425+G428+G432+G435+G437+G439+G442+G445+G448+G451+G454+G457+G414+G390+G379+G362+G366</f>
        <v>339095.3</v>
      </c>
      <c r="H361" s="12">
        <f>H364+H368+H370+H375+H377+H373+H382+H384+H386+H388+H393+H396+H399+H402+H406+H410+H417+H421+H425+H428+H432+H435+H437+H439+H442+H445+H448+H451+H454+H457+H414+H390+H379+H362+H366</f>
        <v>344015.30000000005</v>
      </c>
    </row>
    <row r="362" spans="1:11" s="59" customFormat="1" ht="76.5" x14ac:dyDescent="0.2">
      <c r="A362" s="10" t="s">
        <v>379</v>
      </c>
      <c r="B362" s="8" t="s">
        <v>58</v>
      </c>
      <c r="C362" s="8" t="s">
        <v>30</v>
      </c>
      <c r="D362" s="8" t="s">
        <v>155</v>
      </c>
      <c r="E362" s="8"/>
      <c r="F362" s="9">
        <f>F363</f>
        <v>9252.1</v>
      </c>
      <c r="G362" s="9">
        <f>G363</f>
        <v>0</v>
      </c>
      <c r="H362" s="9">
        <f>H363</f>
        <v>0</v>
      </c>
    </row>
    <row r="363" spans="1:11" s="59" customFormat="1" x14ac:dyDescent="0.2">
      <c r="A363" s="28" t="s">
        <v>13</v>
      </c>
      <c r="B363" s="24" t="s">
        <v>58</v>
      </c>
      <c r="C363" s="24" t="s">
        <v>30</v>
      </c>
      <c r="D363" s="24" t="s">
        <v>155</v>
      </c>
      <c r="E363" s="24" t="s">
        <v>14</v>
      </c>
      <c r="F363" s="26">
        <v>9252.1</v>
      </c>
      <c r="G363" s="26">
        <v>0</v>
      </c>
      <c r="H363" s="26">
        <v>0</v>
      </c>
    </row>
    <row r="364" spans="1:11" ht="63.75" x14ac:dyDescent="0.2">
      <c r="A364" s="10" t="s">
        <v>380</v>
      </c>
      <c r="B364" s="8" t="s">
        <v>58</v>
      </c>
      <c r="C364" s="8" t="s">
        <v>30</v>
      </c>
      <c r="D364" s="8" t="s">
        <v>91</v>
      </c>
      <c r="E364" s="8"/>
      <c r="F364" s="9">
        <f>F365</f>
        <v>1355.2</v>
      </c>
      <c r="G364" s="9">
        <f>G365</f>
        <v>2197.6999999999998</v>
      </c>
      <c r="H364" s="9">
        <f>H365</f>
        <v>7417.7</v>
      </c>
    </row>
    <row r="365" spans="1:11" ht="25.5" x14ac:dyDescent="0.2">
      <c r="A365" s="28" t="s">
        <v>78</v>
      </c>
      <c r="B365" s="24" t="s">
        <v>58</v>
      </c>
      <c r="C365" s="24" t="s">
        <v>30</v>
      </c>
      <c r="D365" s="24" t="s">
        <v>91</v>
      </c>
      <c r="E365" s="24" t="s">
        <v>15</v>
      </c>
      <c r="F365" s="26">
        <v>1355.2</v>
      </c>
      <c r="G365" s="26">
        <v>2197.6999999999998</v>
      </c>
      <c r="H365" s="26">
        <v>7417.7</v>
      </c>
    </row>
    <row r="366" spans="1:11" ht="38.25" x14ac:dyDescent="0.2">
      <c r="A366" s="10" t="s">
        <v>265</v>
      </c>
      <c r="B366" s="8" t="s">
        <v>58</v>
      </c>
      <c r="C366" s="8" t="s">
        <v>30</v>
      </c>
      <c r="D366" s="8" t="s">
        <v>264</v>
      </c>
      <c r="E366" s="8"/>
      <c r="F366" s="9">
        <f>F367</f>
        <v>814.1</v>
      </c>
      <c r="G366" s="9">
        <f>G367</f>
        <v>814.1</v>
      </c>
      <c r="H366" s="9">
        <f>H367</f>
        <v>814.1</v>
      </c>
    </row>
    <row r="367" spans="1:11" s="27" customFormat="1" ht="25.5" x14ac:dyDescent="0.2">
      <c r="A367" s="28" t="s">
        <v>78</v>
      </c>
      <c r="B367" s="24" t="s">
        <v>58</v>
      </c>
      <c r="C367" s="24" t="s">
        <v>30</v>
      </c>
      <c r="D367" s="24" t="s">
        <v>264</v>
      </c>
      <c r="E367" s="24" t="s">
        <v>15</v>
      </c>
      <c r="F367" s="26">
        <v>814.1</v>
      </c>
      <c r="G367" s="26">
        <v>814.1</v>
      </c>
      <c r="H367" s="26">
        <v>814.1</v>
      </c>
      <c r="I367" s="13"/>
      <c r="J367" s="13"/>
      <c r="K367" s="13"/>
    </row>
    <row r="368" spans="1:11" ht="25.5" x14ac:dyDescent="0.2">
      <c r="A368" s="10" t="s">
        <v>381</v>
      </c>
      <c r="B368" s="8" t="s">
        <v>58</v>
      </c>
      <c r="C368" s="8" t="s">
        <v>30</v>
      </c>
      <c r="D368" s="8" t="s">
        <v>145</v>
      </c>
      <c r="E368" s="8"/>
      <c r="F368" s="9">
        <f>F369</f>
        <v>1966.3</v>
      </c>
      <c r="G368" s="9">
        <f>G369</f>
        <v>1966.3</v>
      </c>
      <c r="H368" s="9">
        <f>H369</f>
        <v>1966.3</v>
      </c>
    </row>
    <row r="369" spans="1:15" x14ac:dyDescent="0.2">
      <c r="A369" s="27" t="s">
        <v>13</v>
      </c>
      <c r="B369" s="24" t="s">
        <v>58</v>
      </c>
      <c r="C369" s="24" t="s">
        <v>30</v>
      </c>
      <c r="D369" s="24" t="s">
        <v>145</v>
      </c>
      <c r="E369" s="30">
        <v>300</v>
      </c>
      <c r="F369" s="26">
        <v>1966.3</v>
      </c>
      <c r="G369" s="26">
        <v>1966.3</v>
      </c>
      <c r="H369" s="26">
        <v>1966.3</v>
      </c>
    </row>
    <row r="370" spans="1:15" ht="25.5" x14ac:dyDescent="0.2">
      <c r="A370" s="10" t="s">
        <v>382</v>
      </c>
      <c r="B370" s="8" t="s">
        <v>58</v>
      </c>
      <c r="C370" s="8" t="s">
        <v>30</v>
      </c>
      <c r="D370" s="8" t="s">
        <v>83</v>
      </c>
      <c r="E370" s="8"/>
      <c r="F370" s="9">
        <f>F371+F372</f>
        <v>1000</v>
      </c>
      <c r="G370" s="9">
        <f t="shared" ref="G370:H370" si="44">G371+G372</f>
        <v>1000</v>
      </c>
      <c r="H370" s="9">
        <f t="shared" si="44"/>
        <v>1000</v>
      </c>
    </row>
    <row r="371" spans="1:15" x14ac:dyDescent="0.2">
      <c r="A371" s="27" t="s">
        <v>13</v>
      </c>
      <c r="B371" s="24" t="s">
        <v>58</v>
      </c>
      <c r="C371" s="24" t="s">
        <v>30</v>
      </c>
      <c r="D371" s="24" t="s">
        <v>83</v>
      </c>
      <c r="E371" s="24" t="s">
        <v>14</v>
      </c>
      <c r="F371" s="26">
        <f>119+35.6</f>
        <v>154.6</v>
      </c>
      <c r="G371" s="26">
        <f>119+35.6</f>
        <v>154.6</v>
      </c>
      <c r="H371" s="26">
        <f>119+35.6</f>
        <v>154.6</v>
      </c>
    </row>
    <row r="372" spans="1:15" ht="25.5" x14ac:dyDescent="0.2">
      <c r="A372" s="28" t="s">
        <v>286</v>
      </c>
      <c r="B372" s="24" t="s">
        <v>58</v>
      </c>
      <c r="C372" s="24" t="s">
        <v>30</v>
      </c>
      <c r="D372" s="24" t="s">
        <v>83</v>
      </c>
      <c r="E372" s="24" t="s">
        <v>8</v>
      </c>
      <c r="F372" s="26">
        <f>783.4+62</f>
        <v>845.4</v>
      </c>
      <c r="G372" s="26">
        <f>783.4+62</f>
        <v>845.4</v>
      </c>
      <c r="H372" s="26">
        <f>783.4+62</f>
        <v>845.4</v>
      </c>
    </row>
    <row r="373" spans="1:15" ht="38.25" x14ac:dyDescent="0.2">
      <c r="A373" s="10" t="s">
        <v>383</v>
      </c>
      <c r="B373" s="8" t="s">
        <v>58</v>
      </c>
      <c r="C373" s="8" t="s">
        <v>30</v>
      </c>
      <c r="D373" s="8" t="s">
        <v>134</v>
      </c>
      <c r="E373" s="8"/>
      <c r="F373" s="9">
        <f>F374</f>
        <v>207</v>
      </c>
      <c r="G373" s="9">
        <f>G374</f>
        <v>207</v>
      </c>
      <c r="H373" s="9">
        <f>H374</f>
        <v>207</v>
      </c>
    </row>
    <row r="374" spans="1:15" x14ac:dyDescent="0.2">
      <c r="A374" s="27" t="s">
        <v>13</v>
      </c>
      <c r="B374" s="24" t="s">
        <v>58</v>
      </c>
      <c r="C374" s="24" t="s">
        <v>30</v>
      </c>
      <c r="D374" s="24" t="s">
        <v>134</v>
      </c>
      <c r="E374" s="30">
        <v>300</v>
      </c>
      <c r="F374" s="26">
        <f>207</f>
        <v>207</v>
      </c>
      <c r="G374" s="26">
        <f>207</f>
        <v>207</v>
      </c>
      <c r="H374" s="26">
        <f>207</f>
        <v>207</v>
      </c>
    </row>
    <row r="375" spans="1:15" ht="51" x14ac:dyDescent="0.2">
      <c r="A375" s="10" t="s">
        <v>384</v>
      </c>
      <c r="B375" s="8" t="s">
        <v>58</v>
      </c>
      <c r="C375" s="8" t="s">
        <v>30</v>
      </c>
      <c r="D375" s="24" t="s">
        <v>133</v>
      </c>
      <c r="E375" s="8"/>
      <c r="F375" s="9">
        <f>F376</f>
        <v>387</v>
      </c>
      <c r="G375" s="9">
        <f>G376</f>
        <v>387</v>
      </c>
      <c r="H375" s="9">
        <f>H376</f>
        <v>387</v>
      </c>
    </row>
    <row r="376" spans="1:15" x14ac:dyDescent="0.2">
      <c r="A376" s="27" t="s">
        <v>13</v>
      </c>
      <c r="B376" s="24" t="s">
        <v>58</v>
      </c>
      <c r="C376" s="24" t="s">
        <v>30</v>
      </c>
      <c r="D376" s="24" t="s">
        <v>133</v>
      </c>
      <c r="E376" s="30">
        <v>300</v>
      </c>
      <c r="F376" s="26">
        <f>387</f>
        <v>387</v>
      </c>
      <c r="G376" s="26">
        <f>387</f>
        <v>387</v>
      </c>
      <c r="H376" s="26">
        <f>387</f>
        <v>387</v>
      </c>
    </row>
    <row r="377" spans="1:15" ht="38.25" x14ac:dyDescent="0.2">
      <c r="A377" s="43" t="s">
        <v>385</v>
      </c>
      <c r="B377" s="8" t="s">
        <v>58</v>
      </c>
      <c r="C377" s="8" t="s">
        <v>30</v>
      </c>
      <c r="D377" s="8" t="s">
        <v>132</v>
      </c>
      <c r="E377" s="8"/>
      <c r="F377" s="9">
        <f>F378</f>
        <v>570</v>
      </c>
      <c r="G377" s="9">
        <f>G378</f>
        <v>570</v>
      </c>
      <c r="H377" s="9">
        <f>H378</f>
        <v>570</v>
      </c>
    </row>
    <row r="378" spans="1:15" x14ac:dyDescent="0.2">
      <c r="A378" s="27" t="s">
        <v>13</v>
      </c>
      <c r="B378" s="24" t="s">
        <v>58</v>
      </c>
      <c r="C378" s="24" t="s">
        <v>30</v>
      </c>
      <c r="D378" s="24" t="s">
        <v>132</v>
      </c>
      <c r="E378" s="24" t="s">
        <v>14</v>
      </c>
      <c r="F378" s="26">
        <f>570</f>
        <v>570</v>
      </c>
      <c r="G378" s="26">
        <f>570</f>
        <v>570</v>
      </c>
      <c r="H378" s="26">
        <f>570</f>
        <v>570</v>
      </c>
    </row>
    <row r="379" spans="1:15" ht="25.5" x14ac:dyDescent="0.2">
      <c r="A379" s="43" t="s">
        <v>386</v>
      </c>
      <c r="B379" s="8" t="s">
        <v>58</v>
      </c>
      <c r="C379" s="8" t="s">
        <v>30</v>
      </c>
      <c r="D379" s="8" t="s">
        <v>139</v>
      </c>
      <c r="E379" s="8"/>
      <c r="F379" s="9">
        <f>F381+F380</f>
        <v>550.9</v>
      </c>
      <c r="G379" s="9">
        <f>G381+G380</f>
        <v>550.9</v>
      </c>
      <c r="H379" s="9">
        <f>H381+H380</f>
        <v>550.9</v>
      </c>
      <c r="N379" s="27"/>
      <c r="O379" s="27"/>
    </row>
    <row r="380" spans="1:15" ht="25.5" x14ac:dyDescent="0.2">
      <c r="A380" s="28" t="s">
        <v>20</v>
      </c>
      <c r="B380" s="24" t="s">
        <v>58</v>
      </c>
      <c r="C380" s="24" t="s">
        <v>30</v>
      </c>
      <c r="D380" s="24" t="s">
        <v>139</v>
      </c>
      <c r="E380" s="25" t="s">
        <v>12</v>
      </c>
      <c r="F380" s="26">
        <f>159</f>
        <v>159</v>
      </c>
      <c r="G380" s="26">
        <f>159</f>
        <v>159</v>
      </c>
      <c r="H380" s="26">
        <f>159</f>
        <v>159</v>
      </c>
    </row>
    <row r="381" spans="1:15" ht="25.5" x14ac:dyDescent="0.2">
      <c r="A381" s="28" t="s">
        <v>286</v>
      </c>
      <c r="B381" s="24" t="s">
        <v>58</v>
      </c>
      <c r="C381" s="24" t="s">
        <v>30</v>
      </c>
      <c r="D381" s="24" t="s">
        <v>139</v>
      </c>
      <c r="E381" s="24" t="s">
        <v>8</v>
      </c>
      <c r="F381" s="26">
        <f>371.5+20.4</f>
        <v>391.9</v>
      </c>
      <c r="G381" s="26">
        <f>371.5+20.4</f>
        <v>391.9</v>
      </c>
      <c r="H381" s="26">
        <f>371.5+20.4</f>
        <v>391.9</v>
      </c>
      <c r="I381" s="4"/>
      <c r="J381" s="4"/>
      <c r="K381" s="4"/>
      <c r="L381" s="4"/>
      <c r="M381" s="4"/>
      <c r="N381" s="4"/>
      <c r="O381" s="4"/>
    </row>
    <row r="382" spans="1:15" ht="63.75" x14ac:dyDescent="0.2">
      <c r="A382" s="10" t="s">
        <v>387</v>
      </c>
      <c r="B382" s="8" t="s">
        <v>58</v>
      </c>
      <c r="C382" s="8" t="s">
        <v>30</v>
      </c>
      <c r="D382" s="8" t="s">
        <v>135</v>
      </c>
      <c r="E382" s="8"/>
      <c r="F382" s="9">
        <f>F383</f>
        <v>1000</v>
      </c>
      <c r="G382" s="9">
        <f>G383</f>
        <v>1000</v>
      </c>
      <c r="H382" s="9">
        <f>H383</f>
        <v>1000</v>
      </c>
    </row>
    <row r="383" spans="1:15" x14ac:dyDescent="0.2">
      <c r="A383" s="28" t="s">
        <v>13</v>
      </c>
      <c r="B383" s="24" t="s">
        <v>58</v>
      </c>
      <c r="C383" s="24" t="s">
        <v>30</v>
      </c>
      <c r="D383" s="24" t="s">
        <v>135</v>
      </c>
      <c r="E383" s="24" t="s">
        <v>14</v>
      </c>
      <c r="F383" s="26">
        <f>1000</f>
        <v>1000</v>
      </c>
      <c r="G383" s="26">
        <f>1000</f>
        <v>1000</v>
      </c>
      <c r="H383" s="26">
        <f>1000</f>
        <v>1000</v>
      </c>
    </row>
    <row r="384" spans="1:15" ht="38.25" x14ac:dyDescent="0.2">
      <c r="A384" s="10" t="s">
        <v>388</v>
      </c>
      <c r="B384" s="8" t="s">
        <v>58</v>
      </c>
      <c r="C384" s="8" t="s">
        <v>30</v>
      </c>
      <c r="D384" s="8" t="s">
        <v>85</v>
      </c>
      <c r="E384" s="8"/>
      <c r="F384" s="9">
        <f>F385</f>
        <v>0</v>
      </c>
      <c r="G384" s="9">
        <f>G385</f>
        <v>0</v>
      </c>
      <c r="H384" s="9">
        <f>H385</f>
        <v>0</v>
      </c>
    </row>
    <row r="385" spans="1:8" ht="25.5" x14ac:dyDescent="0.2">
      <c r="A385" s="28" t="s">
        <v>286</v>
      </c>
      <c r="B385" s="24" t="s">
        <v>58</v>
      </c>
      <c r="C385" s="24" t="s">
        <v>30</v>
      </c>
      <c r="D385" s="24" t="s">
        <v>85</v>
      </c>
      <c r="E385" s="24" t="s">
        <v>8</v>
      </c>
      <c r="F385" s="26"/>
      <c r="G385" s="26"/>
      <c r="H385" s="26"/>
    </row>
    <row r="386" spans="1:8" ht="105.75" customHeight="1" x14ac:dyDescent="0.2">
      <c r="A386" s="10" t="s">
        <v>389</v>
      </c>
      <c r="B386" s="8" t="s">
        <v>58</v>
      </c>
      <c r="C386" s="8" t="s">
        <v>30</v>
      </c>
      <c r="D386" s="8" t="s">
        <v>84</v>
      </c>
      <c r="E386" s="8"/>
      <c r="F386" s="9">
        <f>F387</f>
        <v>0</v>
      </c>
      <c r="G386" s="9">
        <f>G387</f>
        <v>0</v>
      </c>
      <c r="H386" s="9">
        <f>H387</f>
        <v>0</v>
      </c>
    </row>
    <row r="387" spans="1:8" ht="25.5" x14ac:dyDescent="0.2">
      <c r="A387" s="28" t="s">
        <v>286</v>
      </c>
      <c r="B387" s="24" t="s">
        <v>58</v>
      </c>
      <c r="C387" s="24" t="s">
        <v>30</v>
      </c>
      <c r="D387" s="24" t="s">
        <v>84</v>
      </c>
      <c r="E387" s="24" t="s">
        <v>8</v>
      </c>
      <c r="F387" s="9"/>
      <c r="G387" s="9"/>
      <c r="H387" s="9"/>
    </row>
    <row r="388" spans="1:8" ht="63.75" x14ac:dyDescent="0.2">
      <c r="A388" s="10" t="s">
        <v>390</v>
      </c>
      <c r="B388" s="8" t="s">
        <v>58</v>
      </c>
      <c r="C388" s="8" t="s">
        <v>30</v>
      </c>
      <c r="D388" s="8" t="s">
        <v>157</v>
      </c>
      <c r="E388" s="8"/>
      <c r="F388" s="9">
        <f>F389</f>
        <v>0</v>
      </c>
      <c r="G388" s="9">
        <f>G389</f>
        <v>0</v>
      </c>
      <c r="H388" s="9">
        <f>H389</f>
        <v>0</v>
      </c>
    </row>
    <row r="389" spans="1:8" ht="25.5" x14ac:dyDescent="0.2">
      <c r="A389" s="28" t="s">
        <v>286</v>
      </c>
      <c r="B389" s="24" t="s">
        <v>58</v>
      </c>
      <c r="C389" s="24" t="s">
        <v>30</v>
      </c>
      <c r="D389" s="24" t="s">
        <v>157</v>
      </c>
      <c r="E389" s="24" t="s">
        <v>8</v>
      </c>
      <c r="F389" s="26"/>
      <c r="G389" s="26"/>
      <c r="H389" s="26"/>
    </row>
    <row r="390" spans="1:8" ht="38.25" x14ac:dyDescent="0.2">
      <c r="A390" s="10" t="s">
        <v>391</v>
      </c>
      <c r="B390" s="8" t="s">
        <v>58</v>
      </c>
      <c r="C390" s="8" t="s">
        <v>30</v>
      </c>
      <c r="D390" s="8" t="s">
        <v>124</v>
      </c>
      <c r="E390" s="8"/>
      <c r="F390" s="9">
        <f>F392+F391</f>
        <v>501</v>
      </c>
      <c r="G390" s="9">
        <f>G392+G391</f>
        <v>530</v>
      </c>
      <c r="H390" s="9">
        <f>H392+H391</f>
        <v>530</v>
      </c>
    </row>
    <row r="391" spans="1:8" ht="25.5" x14ac:dyDescent="0.2">
      <c r="A391" s="28" t="s">
        <v>20</v>
      </c>
      <c r="B391" s="24" t="s">
        <v>58</v>
      </c>
      <c r="C391" s="24" t="s">
        <v>30</v>
      </c>
      <c r="D391" s="24" t="s">
        <v>124</v>
      </c>
      <c r="E391" s="25" t="s">
        <v>12</v>
      </c>
      <c r="F391" s="26">
        <f>2.2</f>
        <v>2.2000000000000002</v>
      </c>
      <c r="G391" s="26">
        <f>2.2</f>
        <v>2.2000000000000002</v>
      </c>
      <c r="H391" s="26">
        <f>2.2</f>
        <v>2.2000000000000002</v>
      </c>
    </row>
    <row r="392" spans="1:8" x14ac:dyDescent="0.2">
      <c r="A392" s="28" t="s">
        <v>13</v>
      </c>
      <c r="B392" s="24" t="s">
        <v>58</v>
      </c>
      <c r="C392" s="24" t="s">
        <v>30</v>
      </c>
      <c r="D392" s="24" t="s">
        <v>124</v>
      </c>
      <c r="E392" s="24" t="s">
        <v>14</v>
      </c>
      <c r="F392" s="26">
        <f>498.8</f>
        <v>498.8</v>
      </c>
      <c r="G392" s="26">
        <f>527.8</f>
        <v>527.79999999999995</v>
      </c>
      <c r="H392" s="26">
        <f>527.8</f>
        <v>527.79999999999995</v>
      </c>
    </row>
    <row r="393" spans="1:8" ht="25.5" x14ac:dyDescent="0.2">
      <c r="A393" s="10" t="s">
        <v>392</v>
      </c>
      <c r="B393" s="8" t="s">
        <v>58</v>
      </c>
      <c r="C393" s="8" t="s">
        <v>30</v>
      </c>
      <c r="D393" s="8" t="s">
        <v>108</v>
      </c>
      <c r="E393" s="8"/>
      <c r="F393" s="9">
        <f>F395+F394</f>
        <v>7600</v>
      </c>
      <c r="G393" s="9">
        <f>G395+G394</f>
        <v>7600</v>
      </c>
      <c r="H393" s="9">
        <f>H395+H394</f>
        <v>7600</v>
      </c>
    </row>
    <row r="394" spans="1:8" ht="25.5" x14ac:dyDescent="0.2">
      <c r="A394" s="28" t="s">
        <v>20</v>
      </c>
      <c r="B394" s="24" t="s">
        <v>58</v>
      </c>
      <c r="C394" s="24" t="s">
        <v>30</v>
      </c>
      <c r="D394" s="24" t="s">
        <v>108</v>
      </c>
      <c r="E394" s="25" t="s">
        <v>12</v>
      </c>
      <c r="F394" s="26">
        <f>52.2</f>
        <v>52.2</v>
      </c>
      <c r="G394" s="26">
        <f>52.2</f>
        <v>52.2</v>
      </c>
      <c r="H394" s="26">
        <f>52.2</f>
        <v>52.2</v>
      </c>
    </row>
    <row r="395" spans="1:8" x14ac:dyDescent="0.2">
      <c r="A395" s="28" t="s">
        <v>13</v>
      </c>
      <c r="B395" s="24" t="s">
        <v>58</v>
      </c>
      <c r="C395" s="24" t="s">
        <v>30</v>
      </c>
      <c r="D395" s="24" t="s">
        <v>108</v>
      </c>
      <c r="E395" s="24" t="s">
        <v>14</v>
      </c>
      <c r="F395" s="26">
        <f>7547.8</f>
        <v>7547.8</v>
      </c>
      <c r="G395" s="26">
        <f>7547.8</f>
        <v>7547.8</v>
      </c>
      <c r="H395" s="26">
        <f>7547.8</f>
        <v>7547.8</v>
      </c>
    </row>
    <row r="396" spans="1:8" ht="25.5" x14ac:dyDescent="0.2">
      <c r="A396" s="10" t="s">
        <v>393</v>
      </c>
      <c r="B396" s="8" t="s">
        <v>58</v>
      </c>
      <c r="C396" s="8" t="s">
        <v>30</v>
      </c>
      <c r="D396" s="8" t="s">
        <v>110</v>
      </c>
      <c r="E396" s="8"/>
      <c r="F396" s="9">
        <f>F398+F397</f>
        <v>56772</v>
      </c>
      <c r="G396" s="9">
        <f>G398+G397</f>
        <v>56759</v>
      </c>
      <c r="H396" s="9">
        <f>H398+H397</f>
        <v>56753</v>
      </c>
    </row>
    <row r="397" spans="1:8" ht="25.5" x14ac:dyDescent="0.2">
      <c r="A397" s="28" t="s">
        <v>20</v>
      </c>
      <c r="B397" s="24" t="s">
        <v>58</v>
      </c>
      <c r="C397" s="24" t="s">
        <v>30</v>
      </c>
      <c r="D397" s="24" t="s">
        <v>110</v>
      </c>
      <c r="E397" s="25" t="s">
        <v>12</v>
      </c>
      <c r="F397" s="26">
        <f>713</f>
        <v>713</v>
      </c>
      <c r="G397" s="26">
        <f>713</f>
        <v>713</v>
      </c>
      <c r="H397" s="26">
        <f>713</f>
        <v>713</v>
      </c>
    </row>
    <row r="398" spans="1:8" x14ac:dyDescent="0.2">
      <c r="A398" s="28" t="s">
        <v>13</v>
      </c>
      <c r="B398" s="24" t="s">
        <v>58</v>
      </c>
      <c r="C398" s="24" t="s">
        <v>30</v>
      </c>
      <c r="D398" s="24" t="s">
        <v>110</v>
      </c>
      <c r="E398" s="24" t="s">
        <v>14</v>
      </c>
      <c r="F398" s="26">
        <f>56059</f>
        <v>56059</v>
      </c>
      <c r="G398" s="26">
        <f>56046</f>
        <v>56046</v>
      </c>
      <c r="H398" s="26">
        <f>56040</f>
        <v>56040</v>
      </c>
    </row>
    <row r="399" spans="1:8" ht="38.25" x14ac:dyDescent="0.2">
      <c r="A399" s="10" t="s">
        <v>394</v>
      </c>
      <c r="B399" s="8" t="s">
        <v>58</v>
      </c>
      <c r="C399" s="8" t="s">
        <v>30</v>
      </c>
      <c r="D399" s="8" t="s">
        <v>109</v>
      </c>
      <c r="E399" s="8"/>
      <c r="F399" s="9">
        <f>F400+F401</f>
        <v>11.5</v>
      </c>
      <c r="G399" s="9">
        <f>G400+G401</f>
        <v>13</v>
      </c>
      <c r="H399" s="9">
        <f>H400+H401</f>
        <v>15</v>
      </c>
    </row>
    <row r="400" spans="1:8" ht="25.5" x14ac:dyDescent="0.2">
      <c r="A400" s="28" t="s">
        <v>20</v>
      </c>
      <c r="B400" s="24" t="s">
        <v>58</v>
      </c>
      <c r="C400" s="24" t="s">
        <v>30</v>
      </c>
      <c r="D400" s="24" t="s">
        <v>109</v>
      </c>
      <c r="E400" s="25" t="s">
        <v>12</v>
      </c>
      <c r="F400" s="26">
        <f>0.1</f>
        <v>0.1</v>
      </c>
      <c r="G400" s="26">
        <f>0.1</f>
        <v>0.1</v>
      </c>
      <c r="H400" s="26">
        <f>0.1</f>
        <v>0.1</v>
      </c>
    </row>
    <row r="401" spans="1:8" x14ac:dyDescent="0.2">
      <c r="A401" s="28" t="s">
        <v>13</v>
      </c>
      <c r="B401" s="24" t="s">
        <v>58</v>
      </c>
      <c r="C401" s="24" t="s">
        <v>30</v>
      </c>
      <c r="D401" s="24" t="s">
        <v>109</v>
      </c>
      <c r="E401" s="24" t="s">
        <v>14</v>
      </c>
      <c r="F401" s="26">
        <f>11.4</f>
        <v>11.4</v>
      </c>
      <c r="G401" s="26">
        <f>12.9</f>
        <v>12.9</v>
      </c>
      <c r="H401" s="26">
        <f>14.9</f>
        <v>14.9</v>
      </c>
    </row>
    <row r="402" spans="1:8" ht="63.75" x14ac:dyDescent="0.2">
      <c r="A402" s="10" t="s">
        <v>395</v>
      </c>
      <c r="B402" s="8" t="s">
        <v>58</v>
      </c>
      <c r="C402" s="8" t="s">
        <v>30</v>
      </c>
      <c r="D402" s="8" t="s">
        <v>98</v>
      </c>
      <c r="E402" s="8"/>
      <c r="F402" s="9">
        <f>F404+F405+F403</f>
        <v>25230.799999999999</v>
      </c>
      <c r="G402" s="9">
        <f>G404+G405+G403</f>
        <v>25230.799999999999</v>
      </c>
      <c r="H402" s="9">
        <f>H404+H405+H403</f>
        <v>25230.799999999999</v>
      </c>
    </row>
    <row r="403" spans="1:8" ht="25.5" x14ac:dyDescent="0.2">
      <c r="A403" s="28" t="s">
        <v>20</v>
      </c>
      <c r="B403" s="24" t="s">
        <v>58</v>
      </c>
      <c r="C403" s="24" t="s">
        <v>30</v>
      </c>
      <c r="D403" s="24" t="s">
        <v>98</v>
      </c>
      <c r="E403" s="25" t="s">
        <v>12</v>
      </c>
      <c r="F403" s="26">
        <f>185.1+70.2</f>
        <v>255.3</v>
      </c>
      <c r="G403" s="26">
        <f>185.1+70.2</f>
        <v>255.3</v>
      </c>
      <c r="H403" s="26">
        <f>185.1+70.2</f>
        <v>255.3</v>
      </c>
    </row>
    <row r="404" spans="1:8" x14ac:dyDescent="0.2">
      <c r="A404" s="28" t="s">
        <v>13</v>
      </c>
      <c r="B404" s="24" t="s">
        <v>58</v>
      </c>
      <c r="C404" s="24" t="s">
        <v>30</v>
      </c>
      <c r="D404" s="24" t="s">
        <v>98</v>
      </c>
      <c r="E404" s="24" t="s">
        <v>14</v>
      </c>
      <c r="F404" s="26">
        <f>24955.5+20</f>
        <v>24975.5</v>
      </c>
      <c r="G404" s="26">
        <f>24955.5+20</f>
        <v>24975.5</v>
      </c>
      <c r="H404" s="26">
        <f>24955.5+20</f>
        <v>24975.5</v>
      </c>
    </row>
    <row r="405" spans="1:8" ht="25.5" x14ac:dyDescent="0.2">
      <c r="A405" s="28" t="s">
        <v>286</v>
      </c>
      <c r="B405" s="24" t="s">
        <v>58</v>
      </c>
      <c r="C405" s="24" t="s">
        <v>30</v>
      </c>
      <c r="D405" s="24" t="s">
        <v>98</v>
      </c>
      <c r="E405" s="24" t="s">
        <v>8</v>
      </c>
      <c r="F405" s="26"/>
      <c r="G405" s="26"/>
      <c r="H405" s="26"/>
    </row>
    <row r="406" spans="1:8" ht="127.5" x14ac:dyDescent="0.2">
      <c r="A406" s="10" t="s">
        <v>396</v>
      </c>
      <c r="B406" s="8" t="s">
        <v>58</v>
      </c>
      <c r="C406" s="8" t="s">
        <v>30</v>
      </c>
      <c r="D406" s="8" t="s">
        <v>99</v>
      </c>
      <c r="E406" s="8"/>
      <c r="F406" s="9">
        <f>F408+F409+F407</f>
        <v>2078</v>
      </c>
      <c r="G406" s="9">
        <f>G408+G409+G407</f>
        <v>2078</v>
      </c>
      <c r="H406" s="9">
        <f>H408+H409+H407</f>
        <v>2078</v>
      </c>
    </row>
    <row r="407" spans="1:8" ht="25.5" x14ac:dyDescent="0.2">
      <c r="A407" s="28" t="s">
        <v>20</v>
      </c>
      <c r="B407" s="24" t="s">
        <v>58</v>
      </c>
      <c r="C407" s="24" t="s">
        <v>30</v>
      </c>
      <c r="D407" s="24" t="s">
        <v>99</v>
      </c>
      <c r="E407" s="25" t="s">
        <v>12</v>
      </c>
      <c r="F407" s="26">
        <f>38+2</f>
        <v>40</v>
      </c>
      <c r="G407" s="26">
        <f>38+2</f>
        <v>40</v>
      </c>
      <c r="H407" s="26">
        <f>38+2</f>
        <v>40</v>
      </c>
    </row>
    <row r="408" spans="1:8" x14ac:dyDescent="0.2">
      <c r="A408" s="28" t="s">
        <v>13</v>
      </c>
      <c r="B408" s="24" t="s">
        <v>58</v>
      </c>
      <c r="C408" s="24" t="s">
        <v>30</v>
      </c>
      <c r="D408" s="24" t="s">
        <v>99</v>
      </c>
      <c r="E408" s="24" t="s">
        <v>14</v>
      </c>
      <c r="F408" s="26">
        <f>2038</f>
        <v>2038</v>
      </c>
      <c r="G408" s="26">
        <f>2038</f>
        <v>2038</v>
      </c>
      <c r="H408" s="26">
        <f>2038</f>
        <v>2038</v>
      </c>
    </row>
    <row r="409" spans="1:8" ht="25.5" x14ac:dyDescent="0.2">
      <c r="A409" s="28" t="s">
        <v>286</v>
      </c>
      <c r="B409" s="24" t="s">
        <v>58</v>
      </c>
      <c r="C409" s="24" t="s">
        <v>30</v>
      </c>
      <c r="D409" s="24" t="s">
        <v>99</v>
      </c>
      <c r="E409" s="24" t="s">
        <v>8</v>
      </c>
      <c r="F409" s="26"/>
      <c r="G409" s="26"/>
      <c r="H409" s="26"/>
    </row>
    <row r="410" spans="1:8" ht="76.5" x14ac:dyDescent="0.2">
      <c r="A410" s="10" t="s">
        <v>397</v>
      </c>
      <c r="B410" s="8" t="s">
        <v>58</v>
      </c>
      <c r="C410" s="8" t="s">
        <v>30</v>
      </c>
      <c r="D410" s="8" t="s">
        <v>100</v>
      </c>
      <c r="E410" s="8"/>
      <c r="F410" s="9">
        <f>F412+F413+F411</f>
        <v>9559.5999999999985</v>
      </c>
      <c r="G410" s="9">
        <f>G412+G413+G411</f>
        <v>9559.5999999999985</v>
      </c>
      <c r="H410" s="9">
        <f>H412+H413+H411</f>
        <v>9559.5999999999985</v>
      </c>
    </row>
    <row r="411" spans="1:8" ht="25.5" x14ac:dyDescent="0.2">
      <c r="A411" s="28" t="s">
        <v>20</v>
      </c>
      <c r="B411" s="24" t="s">
        <v>58</v>
      </c>
      <c r="C411" s="24" t="s">
        <v>30</v>
      </c>
      <c r="D411" s="24" t="s">
        <v>100</v>
      </c>
      <c r="E411" s="25" t="s">
        <v>12</v>
      </c>
      <c r="F411" s="26">
        <f>99.2+20.6</f>
        <v>119.80000000000001</v>
      </c>
      <c r="G411" s="26">
        <f>99.2+20.6</f>
        <v>119.80000000000001</v>
      </c>
      <c r="H411" s="26">
        <f>99.2+20.6</f>
        <v>119.80000000000001</v>
      </c>
    </row>
    <row r="412" spans="1:8" x14ac:dyDescent="0.2">
      <c r="A412" s="28" t="s">
        <v>13</v>
      </c>
      <c r="B412" s="24" t="s">
        <v>58</v>
      </c>
      <c r="C412" s="24" t="s">
        <v>30</v>
      </c>
      <c r="D412" s="24" t="s">
        <v>100</v>
      </c>
      <c r="E412" s="24" t="s">
        <v>14</v>
      </c>
      <c r="F412" s="26">
        <f>9008.8+431</f>
        <v>9439.7999999999993</v>
      </c>
      <c r="G412" s="26">
        <f>9008.8+431</f>
        <v>9439.7999999999993</v>
      </c>
      <c r="H412" s="26">
        <f>9008.8+431</f>
        <v>9439.7999999999993</v>
      </c>
    </row>
    <row r="413" spans="1:8" ht="25.5" x14ac:dyDescent="0.2">
      <c r="A413" s="28" t="s">
        <v>286</v>
      </c>
      <c r="B413" s="24" t="s">
        <v>58</v>
      </c>
      <c r="C413" s="24" t="s">
        <v>30</v>
      </c>
      <c r="D413" s="24" t="s">
        <v>100</v>
      </c>
      <c r="E413" s="24" t="s">
        <v>8</v>
      </c>
      <c r="F413" s="26"/>
      <c r="G413" s="26"/>
      <c r="H413" s="26"/>
    </row>
    <row r="414" spans="1:8" ht="38.25" x14ac:dyDescent="0.2">
      <c r="A414" s="10" t="s">
        <v>398</v>
      </c>
      <c r="B414" s="8" t="s">
        <v>58</v>
      </c>
      <c r="C414" s="8" t="s">
        <v>30</v>
      </c>
      <c r="D414" s="8" t="s">
        <v>114</v>
      </c>
      <c r="E414" s="8"/>
      <c r="F414" s="9">
        <f>F416+F415</f>
        <v>1</v>
      </c>
      <c r="G414" s="9">
        <f>G416+G415</f>
        <v>1</v>
      </c>
      <c r="H414" s="9">
        <f>H416+H415</f>
        <v>1</v>
      </c>
    </row>
    <row r="415" spans="1:8" ht="25.5" x14ac:dyDescent="0.2">
      <c r="A415" s="28" t="s">
        <v>20</v>
      </c>
      <c r="B415" s="24" t="s">
        <v>58</v>
      </c>
      <c r="C415" s="24" t="s">
        <v>30</v>
      </c>
      <c r="D415" s="24" t="s">
        <v>114</v>
      </c>
      <c r="E415" s="25" t="s">
        <v>12</v>
      </c>
      <c r="F415" s="26">
        <f>0.1</f>
        <v>0.1</v>
      </c>
      <c r="G415" s="26">
        <f>0.1</f>
        <v>0.1</v>
      </c>
      <c r="H415" s="26">
        <f>0.1</f>
        <v>0.1</v>
      </c>
    </row>
    <row r="416" spans="1:8" x14ac:dyDescent="0.2">
      <c r="A416" s="28" t="s">
        <v>13</v>
      </c>
      <c r="B416" s="24" t="s">
        <v>58</v>
      </c>
      <c r="C416" s="24" t="s">
        <v>30</v>
      </c>
      <c r="D416" s="24" t="s">
        <v>114</v>
      </c>
      <c r="E416" s="24" t="s">
        <v>14</v>
      </c>
      <c r="F416" s="26">
        <v>0.9</v>
      </c>
      <c r="G416" s="26">
        <v>0.9</v>
      </c>
      <c r="H416" s="26">
        <v>0.9</v>
      </c>
    </row>
    <row r="417" spans="1:8" ht="51" x14ac:dyDescent="0.2">
      <c r="A417" s="10" t="s">
        <v>399</v>
      </c>
      <c r="B417" s="8" t="s">
        <v>58</v>
      </c>
      <c r="C417" s="8" t="s">
        <v>30</v>
      </c>
      <c r="D417" s="8" t="s">
        <v>115</v>
      </c>
      <c r="E417" s="8"/>
      <c r="F417" s="9">
        <f>F419+F420+F418</f>
        <v>18272</v>
      </c>
      <c r="G417" s="9">
        <f>G419+G420+G418</f>
        <v>18272</v>
      </c>
      <c r="H417" s="9">
        <f>H419+H420+H418</f>
        <v>18272</v>
      </c>
    </row>
    <row r="418" spans="1:8" ht="25.5" x14ac:dyDescent="0.2">
      <c r="A418" s="28" t="s">
        <v>20</v>
      </c>
      <c r="B418" s="24" t="s">
        <v>58</v>
      </c>
      <c r="C418" s="24" t="s">
        <v>30</v>
      </c>
      <c r="D418" s="24" t="s">
        <v>115</v>
      </c>
      <c r="E418" s="25" t="s">
        <v>12</v>
      </c>
      <c r="F418" s="26">
        <f>1+62.9</f>
        <v>63.9</v>
      </c>
      <c r="G418" s="26">
        <f>1+62.9</f>
        <v>63.9</v>
      </c>
      <c r="H418" s="26">
        <f>1+62.9</f>
        <v>63.9</v>
      </c>
    </row>
    <row r="419" spans="1:8" x14ac:dyDescent="0.2">
      <c r="A419" s="28" t="s">
        <v>13</v>
      </c>
      <c r="B419" s="24" t="s">
        <v>58</v>
      </c>
      <c r="C419" s="24" t="s">
        <v>30</v>
      </c>
      <c r="D419" s="24" t="s">
        <v>115</v>
      </c>
      <c r="E419" s="24" t="s">
        <v>14</v>
      </c>
      <c r="F419" s="26">
        <f>11933.1+50</f>
        <v>11983.1</v>
      </c>
      <c r="G419" s="26">
        <f>11933.1+50</f>
        <v>11983.1</v>
      </c>
      <c r="H419" s="26">
        <f>11933.1+50</f>
        <v>11983.1</v>
      </c>
    </row>
    <row r="420" spans="1:8" ht="25.5" x14ac:dyDescent="0.2">
      <c r="A420" s="28" t="s">
        <v>286</v>
      </c>
      <c r="B420" s="24" t="s">
        <v>58</v>
      </c>
      <c r="C420" s="24" t="s">
        <v>30</v>
      </c>
      <c r="D420" s="24" t="s">
        <v>115</v>
      </c>
      <c r="E420" s="24" t="s">
        <v>8</v>
      </c>
      <c r="F420" s="26">
        <f>6225</f>
        <v>6225</v>
      </c>
      <c r="G420" s="26">
        <f>6225</f>
        <v>6225</v>
      </c>
      <c r="H420" s="26">
        <f>6225</f>
        <v>6225</v>
      </c>
    </row>
    <row r="421" spans="1:8" ht="51" x14ac:dyDescent="0.2">
      <c r="A421" s="10" t="s">
        <v>400</v>
      </c>
      <c r="B421" s="8" t="s">
        <v>58</v>
      </c>
      <c r="C421" s="8" t="s">
        <v>30</v>
      </c>
      <c r="D421" s="8" t="s">
        <v>101</v>
      </c>
      <c r="E421" s="8"/>
      <c r="F421" s="9">
        <f>F423+F424+F422</f>
        <v>499.4</v>
      </c>
      <c r="G421" s="9">
        <f>G423+G424+G422</f>
        <v>499.4</v>
      </c>
      <c r="H421" s="9">
        <f>H423+H424+H422</f>
        <v>499.4</v>
      </c>
    </row>
    <row r="422" spans="1:8" ht="25.5" x14ac:dyDescent="0.2">
      <c r="A422" s="28" t="s">
        <v>20</v>
      </c>
      <c r="B422" s="24" t="s">
        <v>58</v>
      </c>
      <c r="C422" s="24" t="s">
        <v>30</v>
      </c>
      <c r="D422" s="24" t="s">
        <v>101</v>
      </c>
      <c r="E422" s="25" t="s">
        <v>12</v>
      </c>
      <c r="F422" s="26">
        <f>3.1+2.1</f>
        <v>5.2</v>
      </c>
      <c r="G422" s="26">
        <f>3.1+2.1</f>
        <v>5.2</v>
      </c>
      <c r="H422" s="26">
        <f>3.1+2.1</f>
        <v>5.2</v>
      </c>
    </row>
    <row r="423" spans="1:8" x14ac:dyDescent="0.2">
      <c r="A423" s="28" t="s">
        <v>13</v>
      </c>
      <c r="B423" s="24" t="s">
        <v>58</v>
      </c>
      <c r="C423" s="24" t="s">
        <v>30</v>
      </c>
      <c r="D423" s="24" t="s">
        <v>101</v>
      </c>
      <c r="E423" s="24" t="s">
        <v>14</v>
      </c>
      <c r="F423" s="26">
        <f>494.2</f>
        <v>494.2</v>
      </c>
      <c r="G423" s="26">
        <f>494.2</f>
        <v>494.2</v>
      </c>
      <c r="H423" s="26">
        <f>494.2</f>
        <v>494.2</v>
      </c>
    </row>
    <row r="424" spans="1:8" ht="25.5" x14ac:dyDescent="0.2">
      <c r="A424" s="28" t="s">
        <v>286</v>
      </c>
      <c r="B424" s="24" t="s">
        <v>58</v>
      </c>
      <c r="C424" s="24" t="s">
        <v>30</v>
      </c>
      <c r="D424" s="24" t="s">
        <v>101</v>
      </c>
      <c r="E424" s="24" t="s">
        <v>8</v>
      </c>
      <c r="F424" s="26"/>
      <c r="G424" s="26"/>
      <c r="H424" s="26"/>
    </row>
    <row r="425" spans="1:8" ht="51" x14ac:dyDescent="0.2">
      <c r="A425" s="10" t="s">
        <v>401</v>
      </c>
      <c r="B425" s="8" t="s">
        <v>58</v>
      </c>
      <c r="C425" s="8" t="s">
        <v>30</v>
      </c>
      <c r="D425" s="8" t="s">
        <v>118</v>
      </c>
      <c r="E425" s="8"/>
      <c r="F425" s="9">
        <f>F427+F426</f>
        <v>12.7</v>
      </c>
      <c r="G425" s="9">
        <f>G427+G426</f>
        <v>12.7</v>
      </c>
      <c r="H425" s="9">
        <f>H427+H426</f>
        <v>12.7</v>
      </c>
    </row>
    <row r="426" spans="1:8" ht="25.5" x14ac:dyDescent="0.2">
      <c r="A426" s="28" t="s">
        <v>20</v>
      </c>
      <c r="B426" s="24" t="s">
        <v>58</v>
      </c>
      <c r="C426" s="24" t="s">
        <v>30</v>
      </c>
      <c r="D426" s="24" t="s">
        <v>118</v>
      </c>
      <c r="E426" s="25" t="s">
        <v>12</v>
      </c>
      <c r="F426" s="26">
        <f>0.1</f>
        <v>0.1</v>
      </c>
      <c r="G426" s="26">
        <f>0.1</f>
        <v>0.1</v>
      </c>
      <c r="H426" s="26">
        <f>0.1</f>
        <v>0.1</v>
      </c>
    </row>
    <row r="427" spans="1:8" x14ac:dyDescent="0.2">
      <c r="A427" s="28" t="s">
        <v>13</v>
      </c>
      <c r="B427" s="24" t="s">
        <v>58</v>
      </c>
      <c r="C427" s="24" t="s">
        <v>30</v>
      </c>
      <c r="D427" s="24" t="s">
        <v>118</v>
      </c>
      <c r="E427" s="24" t="s">
        <v>14</v>
      </c>
      <c r="F427" s="26">
        <f>12.6</f>
        <v>12.6</v>
      </c>
      <c r="G427" s="26">
        <f>12.6</f>
        <v>12.6</v>
      </c>
      <c r="H427" s="26">
        <f>12.6</f>
        <v>12.6</v>
      </c>
    </row>
    <row r="428" spans="1:8" ht="51" x14ac:dyDescent="0.2">
      <c r="A428" s="10" t="s">
        <v>402</v>
      </c>
      <c r="B428" s="8" t="s">
        <v>58</v>
      </c>
      <c r="C428" s="8" t="s">
        <v>30</v>
      </c>
      <c r="D428" s="8" t="s">
        <v>102</v>
      </c>
      <c r="E428" s="8"/>
      <c r="F428" s="9">
        <f>F430+F431+F429</f>
        <v>690.6</v>
      </c>
      <c r="G428" s="9">
        <f>G430+G431+G429</f>
        <v>690.6</v>
      </c>
      <c r="H428" s="9">
        <f>H430+H431+H429</f>
        <v>690.6</v>
      </c>
    </row>
    <row r="429" spans="1:8" ht="25.5" x14ac:dyDescent="0.2">
      <c r="A429" s="28" t="s">
        <v>20</v>
      </c>
      <c r="B429" s="24" t="s">
        <v>58</v>
      </c>
      <c r="C429" s="24" t="s">
        <v>30</v>
      </c>
      <c r="D429" s="24" t="s">
        <v>102</v>
      </c>
      <c r="E429" s="25" t="s">
        <v>12</v>
      </c>
      <c r="F429" s="26">
        <f>9.2+1.5</f>
        <v>10.7</v>
      </c>
      <c r="G429" s="26">
        <f>9.2+1.5</f>
        <v>10.7</v>
      </c>
      <c r="H429" s="26">
        <f>9.2+1.5</f>
        <v>10.7</v>
      </c>
    </row>
    <row r="430" spans="1:8" x14ac:dyDescent="0.2">
      <c r="A430" s="28" t="s">
        <v>13</v>
      </c>
      <c r="B430" s="24" t="s">
        <v>58</v>
      </c>
      <c r="C430" s="24" t="s">
        <v>30</v>
      </c>
      <c r="D430" s="24" t="s">
        <v>102</v>
      </c>
      <c r="E430" s="24" t="s">
        <v>14</v>
      </c>
      <c r="F430" s="26">
        <f>679.9</f>
        <v>679.9</v>
      </c>
      <c r="G430" s="26">
        <f>679.9</f>
        <v>679.9</v>
      </c>
      <c r="H430" s="26">
        <f>679.9</f>
        <v>679.9</v>
      </c>
    </row>
    <row r="431" spans="1:8" ht="25.5" x14ac:dyDescent="0.2">
      <c r="A431" s="28" t="s">
        <v>286</v>
      </c>
      <c r="B431" s="24" t="s">
        <v>58</v>
      </c>
      <c r="C431" s="24" t="s">
        <v>30</v>
      </c>
      <c r="D431" s="24" t="s">
        <v>102</v>
      </c>
      <c r="E431" s="24" t="s">
        <v>8</v>
      </c>
      <c r="F431" s="26"/>
      <c r="G431" s="26"/>
      <c r="H431" s="26"/>
    </row>
    <row r="432" spans="1:8" ht="25.5" x14ac:dyDescent="0.2">
      <c r="A432" s="10" t="s">
        <v>403</v>
      </c>
      <c r="B432" s="8" t="s">
        <v>58</v>
      </c>
      <c r="C432" s="8" t="s">
        <v>30</v>
      </c>
      <c r="D432" s="8" t="s">
        <v>112</v>
      </c>
      <c r="E432" s="8"/>
      <c r="F432" s="9">
        <f>F434+F433</f>
        <v>92227</v>
      </c>
      <c r="G432" s="9">
        <f>G434+G433</f>
        <v>92227</v>
      </c>
      <c r="H432" s="9">
        <f>H434+H433</f>
        <v>92227</v>
      </c>
    </row>
    <row r="433" spans="1:8" ht="25.5" x14ac:dyDescent="0.2">
      <c r="A433" s="28" t="s">
        <v>20</v>
      </c>
      <c r="B433" s="24" t="s">
        <v>58</v>
      </c>
      <c r="C433" s="24" t="s">
        <v>30</v>
      </c>
      <c r="D433" s="24" t="s">
        <v>112</v>
      </c>
      <c r="E433" s="25" t="s">
        <v>12</v>
      </c>
      <c r="F433" s="26">
        <f>38+400</f>
        <v>438</v>
      </c>
      <c r="G433" s="26">
        <f>38+400</f>
        <v>438</v>
      </c>
      <c r="H433" s="26">
        <f>38+400</f>
        <v>438</v>
      </c>
    </row>
    <row r="434" spans="1:8" x14ac:dyDescent="0.2">
      <c r="A434" s="28" t="s">
        <v>13</v>
      </c>
      <c r="B434" s="24" t="s">
        <v>58</v>
      </c>
      <c r="C434" s="24" t="s">
        <v>30</v>
      </c>
      <c r="D434" s="24" t="s">
        <v>112</v>
      </c>
      <c r="E434" s="24" t="s">
        <v>14</v>
      </c>
      <c r="F434" s="26">
        <f>91789</f>
        <v>91789</v>
      </c>
      <c r="G434" s="26">
        <f>91789</f>
        <v>91789</v>
      </c>
      <c r="H434" s="26">
        <f>91789</f>
        <v>91789</v>
      </c>
    </row>
    <row r="435" spans="1:8" ht="102" x14ac:dyDescent="0.2">
      <c r="A435" s="10" t="s">
        <v>404</v>
      </c>
      <c r="B435" s="8" t="s">
        <v>58</v>
      </c>
      <c r="C435" s="8" t="s">
        <v>30</v>
      </c>
      <c r="D435" s="8" t="s">
        <v>119</v>
      </c>
      <c r="E435" s="8"/>
      <c r="F435" s="9">
        <f>F436</f>
        <v>1.2</v>
      </c>
      <c r="G435" s="9">
        <f>G436</f>
        <v>1.2</v>
      </c>
      <c r="H435" s="9">
        <f>H436</f>
        <v>1.2</v>
      </c>
    </row>
    <row r="436" spans="1:8" x14ac:dyDescent="0.2">
      <c r="A436" s="27" t="s">
        <v>13</v>
      </c>
      <c r="B436" s="24" t="s">
        <v>58</v>
      </c>
      <c r="C436" s="24" t="s">
        <v>30</v>
      </c>
      <c r="D436" s="24" t="s">
        <v>119</v>
      </c>
      <c r="E436" s="24" t="s">
        <v>14</v>
      </c>
      <c r="F436" s="26">
        <f>1.2</f>
        <v>1.2</v>
      </c>
      <c r="G436" s="26">
        <v>1.2</v>
      </c>
      <c r="H436" s="26">
        <v>1.2</v>
      </c>
    </row>
    <row r="437" spans="1:8" ht="76.5" x14ac:dyDescent="0.2">
      <c r="A437" s="10" t="s">
        <v>405</v>
      </c>
      <c r="B437" s="8" t="s">
        <v>58</v>
      </c>
      <c r="C437" s="8" t="s">
        <v>30</v>
      </c>
      <c r="D437" s="8" t="s">
        <v>125</v>
      </c>
      <c r="E437" s="8"/>
      <c r="F437" s="9">
        <f>F438</f>
        <v>34</v>
      </c>
      <c r="G437" s="9">
        <f>G438</f>
        <v>34</v>
      </c>
      <c r="H437" s="9">
        <f>H438</f>
        <v>34</v>
      </c>
    </row>
    <row r="438" spans="1:8" ht="51" x14ac:dyDescent="0.2">
      <c r="A438" s="23" t="s">
        <v>9</v>
      </c>
      <c r="B438" s="24" t="s">
        <v>58</v>
      </c>
      <c r="C438" s="24" t="s">
        <v>30</v>
      </c>
      <c r="D438" s="24" t="s">
        <v>125</v>
      </c>
      <c r="E438" s="24" t="s">
        <v>10</v>
      </c>
      <c r="F438" s="26">
        <f>34</f>
        <v>34</v>
      </c>
      <c r="G438" s="26">
        <f>34</f>
        <v>34</v>
      </c>
      <c r="H438" s="26">
        <f>34</f>
        <v>34</v>
      </c>
    </row>
    <row r="439" spans="1:8" ht="51" x14ac:dyDescent="0.2">
      <c r="A439" s="10" t="s">
        <v>406</v>
      </c>
      <c r="B439" s="8" t="s">
        <v>58</v>
      </c>
      <c r="C439" s="8" t="s">
        <v>30</v>
      </c>
      <c r="D439" s="8" t="s">
        <v>116</v>
      </c>
      <c r="E439" s="8"/>
      <c r="F439" s="9">
        <f>F441+F440</f>
        <v>3440</v>
      </c>
      <c r="G439" s="9">
        <f>G441+G440</f>
        <v>3440</v>
      </c>
      <c r="H439" s="9">
        <f>H441+H440</f>
        <v>3440</v>
      </c>
    </row>
    <row r="440" spans="1:8" ht="25.5" x14ac:dyDescent="0.2">
      <c r="A440" s="28" t="s">
        <v>20</v>
      </c>
      <c r="B440" s="24" t="s">
        <v>58</v>
      </c>
      <c r="C440" s="24" t="s">
        <v>30</v>
      </c>
      <c r="D440" s="24" t="s">
        <v>116</v>
      </c>
      <c r="E440" s="25" t="s">
        <v>12</v>
      </c>
      <c r="F440" s="26">
        <f>2</f>
        <v>2</v>
      </c>
      <c r="G440" s="26">
        <f>2</f>
        <v>2</v>
      </c>
      <c r="H440" s="26">
        <f>2</f>
        <v>2</v>
      </c>
    </row>
    <row r="441" spans="1:8" x14ac:dyDescent="0.2">
      <c r="A441" s="28" t="s">
        <v>13</v>
      </c>
      <c r="B441" s="24" t="s">
        <v>58</v>
      </c>
      <c r="C441" s="24" t="s">
        <v>30</v>
      </c>
      <c r="D441" s="24" t="s">
        <v>116</v>
      </c>
      <c r="E441" s="24" t="s">
        <v>14</v>
      </c>
      <c r="F441" s="26">
        <f>3438</f>
        <v>3438</v>
      </c>
      <c r="G441" s="26">
        <f>3438</f>
        <v>3438</v>
      </c>
      <c r="H441" s="26">
        <f>3438</f>
        <v>3438</v>
      </c>
    </row>
    <row r="442" spans="1:8" ht="38.25" x14ac:dyDescent="0.2">
      <c r="A442" s="10" t="s">
        <v>407</v>
      </c>
      <c r="B442" s="8" t="s">
        <v>58</v>
      </c>
      <c r="C442" s="8" t="s">
        <v>30</v>
      </c>
      <c r="D442" s="8" t="s">
        <v>122</v>
      </c>
      <c r="E442" s="8"/>
      <c r="F442" s="9">
        <f>F444+F443</f>
        <v>23947</v>
      </c>
      <c r="G442" s="9">
        <f>G444+G443</f>
        <v>23651</v>
      </c>
      <c r="H442" s="9">
        <f>H444+H443</f>
        <v>23355</v>
      </c>
    </row>
    <row r="443" spans="1:8" ht="25.5" x14ac:dyDescent="0.2">
      <c r="A443" s="28" t="s">
        <v>20</v>
      </c>
      <c r="B443" s="24" t="s">
        <v>58</v>
      </c>
      <c r="C443" s="24" t="s">
        <v>30</v>
      </c>
      <c r="D443" s="24" t="s">
        <v>122</v>
      </c>
      <c r="E443" s="25" t="s">
        <v>12</v>
      </c>
      <c r="F443" s="26">
        <f>315+45</f>
        <v>360</v>
      </c>
      <c r="G443" s="26">
        <f>315+45</f>
        <v>360</v>
      </c>
      <c r="H443" s="26">
        <f>315+45</f>
        <v>360</v>
      </c>
    </row>
    <row r="444" spans="1:8" x14ac:dyDescent="0.2">
      <c r="A444" s="28" t="s">
        <v>13</v>
      </c>
      <c r="B444" s="24" t="s">
        <v>58</v>
      </c>
      <c r="C444" s="24" t="s">
        <v>30</v>
      </c>
      <c r="D444" s="24" t="s">
        <v>122</v>
      </c>
      <c r="E444" s="24" t="s">
        <v>14</v>
      </c>
      <c r="F444" s="26">
        <f>23587</f>
        <v>23587</v>
      </c>
      <c r="G444" s="26">
        <f>23291</f>
        <v>23291</v>
      </c>
      <c r="H444" s="26">
        <f>22995</f>
        <v>22995</v>
      </c>
    </row>
    <row r="445" spans="1:8" ht="51" x14ac:dyDescent="0.2">
      <c r="A445" s="10" t="s">
        <v>408</v>
      </c>
      <c r="B445" s="8" t="s">
        <v>58</v>
      </c>
      <c r="C445" s="8" t="s">
        <v>30</v>
      </c>
      <c r="D445" s="8" t="s">
        <v>117</v>
      </c>
      <c r="E445" s="8"/>
      <c r="F445" s="9">
        <f>F447+F446</f>
        <v>104</v>
      </c>
      <c r="G445" s="9">
        <f>G447+G446</f>
        <v>104</v>
      </c>
      <c r="H445" s="9">
        <f>H447+H446</f>
        <v>104</v>
      </c>
    </row>
    <row r="446" spans="1:8" ht="25.5" x14ac:dyDescent="0.2">
      <c r="A446" s="28" t="s">
        <v>20</v>
      </c>
      <c r="B446" s="24" t="s">
        <v>58</v>
      </c>
      <c r="C446" s="24" t="s">
        <v>30</v>
      </c>
      <c r="D446" s="24" t="s">
        <v>117</v>
      </c>
      <c r="E446" s="25" t="s">
        <v>12</v>
      </c>
      <c r="F446" s="26">
        <f>1.3+0.3</f>
        <v>1.6</v>
      </c>
      <c r="G446" s="26">
        <f>1.3+0.3</f>
        <v>1.6</v>
      </c>
      <c r="H446" s="26">
        <f>1.3+0.3</f>
        <v>1.6</v>
      </c>
    </row>
    <row r="447" spans="1:8" x14ac:dyDescent="0.2">
      <c r="A447" s="28" t="s">
        <v>13</v>
      </c>
      <c r="B447" s="24" t="s">
        <v>58</v>
      </c>
      <c r="C447" s="24" t="s">
        <v>30</v>
      </c>
      <c r="D447" s="24" t="s">
        <v>117</v>
      </c>
      <c r="E447" s="24" t="s">
        <v>14</v>
      </c>
      <c r="F447" s="26">
        <f>102.4</f>
        <v>102.4</v>
      </c>
      <c r="G447" s="26">
        <f>102.4</f>
        <v>102.4</v>
      </c>
      <c r="H447" s="26">
        <f>102.4</f>
        <v>102.4</v>
      </c>
    </row>
    <row r="448" spans="1:8" ht="63.75" x14ac:dyDescent="0.2">
      <c r="A448" s="10" t="s">
        <v>409</v>
      </c>
      <c r="B448" s="8" t="s">
        <v>58</v>
      </c>
      <c r="C448" s="8" t="s">
        <v>30</v>
      </c>
      <c r="D448" s="8" t="s">
        <v>120</v>
      </c>
      <c r="E448" s="8"/>
      <c r="F448" s="9">
        <f>F450+F449</f>
        <v>857</v>
      </c>
      <c r="G448" s="9">
        <f>G450+G449</f>
        <v>857</v>
      </c>
      <c r="H448" s="9">
        <f>H450+H449</f>
        <v>857</v>
      </c>
    </row>
    <row r="449" spans="1:8" ht="25.5" x14ac:dyDescent="0.2">
      <c r="A449" s="28" t="s">
        <v>20</v>
      </c>
      <c r="B449" s="24" t="s">
        <v>58</v>
      </c>
      <c r="C449" s="24" t="s">
        <v>30</v>
      </c>
      <c r="D449" s="24" t="s">
        <v>120</v>
      </c>
      <c r="E449" s="25" t="s">
        <v>12</v>
      </c>
      <c r="F449" s="26">
        <f>3.9</f>
        <v>3.9</v>
      </c>
      <c r="G449" s="26">
        <f>3.9</f>
        <v>3.9</v>
      </c>
      <c r="H449" s="26">
        <f>3.9</f>
        <v>3.9</v>
      </c>
    </row>
    <row r="450" spans="1:8" x14ac:dyDescent="0.2">
      <c r="A450" s="28" t="s">
        <v>13</v>
      </c>
      <c r="B450" s="24" t="s">
        <v>58</v>
      </c>
      <c r="C450" s="24" t="s">
        <v>30</v>
      </c>
      <c r="D450" s="24" t="s">
        <v>120</v>
      </c>
      <c r="E450" s="24" t="s">
        <v>14</v>
      </c>
      <c r="F450" s="26">
        <f>853.1</f>
        <v>853.1</v>
      </c>
      <c r="G450" s="26">
        <f>853.1</f>
        <v>853.1</v>
      </c>
      <c r="H450" s="26">
        <f>853.1</f>
        <v>853.1</v>
      </c>
    </row>
    <row r="451" spans="1:8" ht="38.25" x14ac:dyDescent="0.2">
      <c r="A451" s="10" t="s">
        <v>410</v>
      </c>
      <c r="B451" s="8" t="s">
        <v>58</v>
      </c>
      <c r="C451" s="8" t="s">
        <v>30</v>
      </c>
      <c r="D451" s="8" t="s">
        <v>121</v>
      </c>
      <c r="E451" s="8"/>
      <c r="F451" s="9">
        <f>F453+F452</f>
        <v>284</v>
      </c>
      <c r="G451" s="9">
        <f>G453+G452</f>
        <v>284</v>
      </c>
      <c r="H451" s="9">
        <f>H453+H452</f>
        <v>284</v>
      </c>
    </row>
    <row r="452" spans="1:8" ht="25.5" x14ac:dyDescent="0.2">
      <c r="A452" s="28" t="s">
        <v>20</v>
      </c>
      <c r="B452" s="24" t="s">
        <v>58</v>
      </c>
      <c r="C452" s="24" t="s">
        <v>30</v>
      </c>
      <c r="D452" s="24" t="s">
        <v>121</v>
      </c>
      <c r="E452" s="25" t="s">
        <v>12</v>
      </c>
      <c r="F452" s="26">
        <f>5.3+0.4</f>
        <v>5.7</v>
      </c>
      <c r="G452" s="26">
        <f>5.3+0.4</f>
        <v>5.7</v>
      </c>
      <c r="H452" s="26">
        <f>5.3+0.4</f>
        <v>5.7</v>
      </c>
    </row>
    <row r="453" spans="1:8" x14ac:dyDescent="0.2">
      <c r="A453" s="28" t="s">
        <v>13</v>
      </c>
      <c r="B453" s="24" t="s">
        <v>58</v>
      </c>
      <c r="C453" s="24" t="s">
        <v>30</v>
      </c>
      <c r="D453" s="24" t="s">
        <v>121</v>
      </c>
      <c r="E453" s="24" t="s">
        <v>14</v>
      </c>
      <c r="F453" s="26">
        <f>278.3</f>
        <v>278.3</v>
      </c>
      <c r="G453" s="26">
        <f>278.3</f>
        <v>278.3</v>
      </c>
      <c r="H453" s="26">
        <f>278.3</f>
        <v>278.3</v>
      </c>
    </row>
    <row r="454" spans="1:8" ht="89.25" x14ac:dyDescent="0.2">
      <c r="A454" s="10" t="s">
        <v>411</v>
      </c>
      <c r="B454" s="8" t="s">
        <v>58</v>
      </c>
      <c r="C454" s="8" t="s">
        <v>30</v>
      </c>
      <c r="D454" s="8" t="s">
        <v>123</v>
      </c>
      <c r="E454" s="8"/>
      <c r="F454" s="9">
        <f>F456+F455</f>
        <v>87263</v>
      </c>
      <c r="G454" s="9">
        <f>G456+G455</f>
        <v>87263</v>
      </c>
      <c r="H454" s="9">
        <f>H456+H455</f>
        <v>87263</v>
      </c>
    </row>
    <row r="455" spans="1:8" ht="25.5" x14ac:dyDescent="0.2">
      <c r="A455" s="28" t="s">
        <v>20</v>
      </c>
      <c r="B455" s="24" t="s">
        <v>58</v>
      </c>
      <c r="C455" s="24" t="s">
        <v>30</v>
      </c>
      <c r="D455" s="24" t="s">
        <v>123</v>
      </c>
      <c r="E455" s="25" t="s">
        <v>12</v>
      </c>
      <c r="F455" s="26">
        <f>317+162+115+35+55+22+125+46+1+1.5</f>
        <v>879.5</v>
      </c>
      <c r="G455" s="26">
        <f>317+162+115+35+55+22+125+46+1+1.5</f>
        <v>879.5</v>
      </c>
      <c r="H455" s="26">
        <f>317+162+115+35+55+22+125+46+1+1.5</f>
        <v>879.5</v>
      </c>
    </row>
    <row r="456" spans="1:8" x14ac:dyDescent="0.2">
      <c r="A456" s="28" t="s">
        <v>13</v>
      </c>
      <c r="B456" s="24" t="s">
        <v>58</v>
      </c>
      <c r="C456" s="24" t="s">
        <v>30</v>
      </c>
      <c r="D456" s="24" t="s">
        <v>123</v>
      </c>
      <c r="E456" s="24" t="s">
        <v>14</v>
      </c>
      <c r="F456" s="26">
        <f>49601.5+12870+7200+16500+212</f>
        <v>86383.5</v>
      </c>
      <c r="G456" s="26">
        <f>49601.5+12870+7200+16500+212</f>
        <v>86383.5</v>
      </c>
      <c r="H456" s="26">
        <f>49601.5+12870+7200+16500+212</f>
        <v>86383.5</v>
      </c>
    </row>
    <row r="457" spans="1:8" ht="63.75" x14ac:dyDescent="0.2">
      <c r="A457" s="10" t="s">
        <v>412</v>
      </c>
      <c r="B457" s="8" t="s">
        <v>58</v>
      </c>
      <c r="C457" s="8" t="s">
        <v>30</v>
      </c>
      <c r="D457" s="8" t="s">
        <v>96</v>
      </c>
      <c r="E457" s="8"/>
      <c r="F457" s="9">
        <f>F459+F458</f>
        <v>1295</v>
      </c>
      <c r="G457" s="9">
        <f>G459+G458</f>
        <v>1295</v>
      </c>
      <c r="H457" s="9">
        <f>H459+H458</f>
        <v>1295</v>
      </c>
    </row>
    <row r="458" spans="1:8" ht="25.5" x14ac:dyDescent="0.2">
      <c r="A458" s="28" t="s">
        <v>20</v>
      </c>
      <c r="B458" s="24" t="s">
        <v>58</v>
      </c>
      <c r="C458" s="24" t="s">
        <v>30</v>
      </c>
      <c r="D458" s="24" t="s">
        <v>96</v>
      </c>
      <c r="E458" s="25" t="s">
        <v>12</v>
      </c>
      <c r="F458" s="26">
        <f>23</f>
        <v>23</v>
      </c>
      <c r="G458" s="26">
        <f>23</f>
        <v>23</v>
      </c>
      <c r="H458" s="26">
        <f>23</f>
        <v>23</v>
      </c>
    </row>
    <row r="459" spans="1:8" x14ac:dyDescent="0.2">
      <c r="A459" s="28" t="s">
        <v>13</v>
      </c>
      <c r="B459" s="24" t="s">
        <v>58</v>
      </c>
      <c r="C459" s="24" t="s">
        <v>30</v>
      </c>
      <c r="D459" s="24" t="s">
        <v>96</v>
      </c>
      <c r="E459" s="24" t="s">
        <v>14</v>
      </c>
      <c r="F459" s="26">
        <f>1109+163</f>
        <v>1272</v>
      </c>
      <c r="G459" s="26">
        <f>1109+163</f>
        <v>1272</v>
      </c>
      <c r="H459" s="26">
        <f>1109+163</f>
        <v>1272</v>
      </c>
    </row>
    <row r="460" spans="1:8" x14ac:dyDescent="0.2">
      <c r="A460" s="14" t="s">
        <v>69</v>
      </c>
      <c r="B460" s="11" t="s">
        <v>58</v>
      </c>
      <c r="C460" s="11" t="s">
        <v>32</v>
      </c>
      <c r="D460" s="11"/>
      <c r="E460" s="11"/>
      <c r="F460" s="12">
        <f>F461+F463+F465+F468+F475+F480+F472+F483+F477</f>
        <v>180466.1</v>
      </c>
      <c r="G460" s="12">
        <f>G461+G463+G465+G468+G475+G480+G472+G483+G477</f>
        <v>181149.1</v>
      </c>
      <c r="H460" s="12">
        <f>H461+H463+H465+H468+H475+H480+H472+H483+H477</f>
        <v>176934.1</v>
      </c>
    </row>
    <row r="461" spans="1:8" ht="38.25" x14ac:dyDescent="0.2">
      <c r="A461" s="10" t="s">
        <v>413</v>
      </c>
      <c r="B461" s="8" t="s">
        <v>58</v>
      </c>
      <c r="C461" s="6" t="s">
        <v>32</v>
      </c>
      <c r="D461" s="8" t="s">
        <v>86</v>
      </c>
      <c r="E461" s="8"/>
      <c r="F461" s="9">
        <f>F462</f>
        <v>0</v>
      </c>
      <c r="G461" s="9">
        <f>G462</f>
        <v>0</v>
      </c>
      <c r="H461" s="9">
        <f>H462</f>
        <v>0</v>
      </c>
    </row>
    <row r="462" spans="1:8" ht="25.5" x14ac:dyDescent="0.2">
      <c r="A462" s="28" t="s">
        <v>78</v>
      </c>
      <c r="B462" s="24" t="s">
        <v>58</v>
      </c>
      <c r="C462" s="24" t="s">
        <v>32</v>
      </c>
      <c r="D462" s="8" t="s">
        <v>86</v>
      </c>
      <c r="E462" s="24" t="s">
        <v>15</v>
      </c>
      <c r="F462" s="26"/>
      <c r="G462" s="26"/>
      <c r="H462" s="26"/>
    </row>
    <row r="463" spans="1:8" ht="38.25" x14ac:dyDescent="0.2">
      <c r="A463" s="10" t="s">
        <v>413</v>
      </c>
      <c r="B463" s="8" t="s">
        <v>58</v>
      </c>
      <c r="C463" s="6" t="s">
        <v>32</v>
      </c>
      <c r="D463" s="8" t="s">
        <v>140</v>
      </c>
      <c r="E463" s="8"/>
      <c r="F463" s="9">
        <f>F464</f>
        <v>18022</v>
      </c>
      <c r="G463" s="9">
        <f>G464</f>
        <v>18022</v>
      </c>
      <c r="H463" s="9">
        <f>H464</f>
        <v>18022</v>
      </c>
    </row>
    <row r="464" spans="1:8" ht="25.5" x14ac:dyDescent="0.2">
      <c r="A464" s="28" t="s">
        <v>78</v>
      </c>
      <c r="B464" s="24" t="s">
        <v>58</v>
      </c>
      <c r="C464" s="24" t="s">
        <v>32</v>
      </c>
      <c r="D464" s="8" t="s">
        <v>140</v>
      </c>
      <c r="E464" s="24" t="s">
        <v>15</v>
      </c>
      <c r="F464" s="26">
        <v>18022</v>
      </c>
      <c r="G464" s="26">
        <v>18022</v>
      </c>
      <c r="H464" s="26">
        <v>18022</v>
      </c>
    </row>
    <row r="465" spans="1:8" ht="25.5" x14ac:dyDescent="0.2">
      <c r="A465" s="10" t="s">
        <v>414</v>
      </c>
      <c r="B465" s="8" t="s">
        <v>58</v>
      </c>
      <c r="C465" s="8" t="s">
        <v>32</v>
      </c>
      <c r="D465" s="8" t="s">
        <v>138</v>
      </c>
      <c r="E465" s="8"/>
      <c r="F465" s="9">
        <f>F467+F466</f>
        <v>1791.1</v>
      </c>
      <c r="G465" s="9">
        <f>G467+G466</f>
        <v>1791.1</v>
      </c>
      <c r="H465" s="9">
        <f>H467+H466</f>
        <v>1791.1</v>
      </c>
    </row>
    <row r="466" spans="1:8" ht="25.5" x14ac:dyDescent="0.2">
      <c r="A466" s="28" t="s">
        <v>20</v>
      </c>
      <c r="B466" s="24" t="s">
        <v>58</v>
      </c>
      <c r="C466" s="24" t="s">
        <v>32</v>
      </c>
      <c r="D466" s="24" t="s">
        <v>138</v>
      </c>
      <c r="E466" s="25" t="s">
        <v>12</v>
      </c>
      <c r="F466" s="26"/>
      <c r="G466" s="26"/>
      <c r="H466" s="26"/>
    </row>
    <row r="467" spans="1:8" x14ac:dyDescent="0.2">
      <c r="A467" s="28" t="s">
        <v>13</v>
      </c>
      <c r="B467" s="24" t="s">
        <v>58</v>
      </c>
      <c r="C467" s="24" t="s">
        <v>32</v>
      </c>
      <c r="D467" s="24" t="s">
        <v>138</v>
      </c>
      <c r="E467" s="24" t="s">
        <v>14</v>
      </c>
      <c r="F467" s="26">
        <f>1791.1</f>
        <v>1791.1</v>
      </c>
      <c r="G467" s="26">
        <f>1791.1</f>
        <v>1791.1</v>
      </c>
      <c r="H467" s="26">
        <f>1791.1</f>
        <v>1791.1</v>
      </c>
    </row>
    <row r="468" spans="1:8" ht="38.25" x14ac:dyDescent="0.2">
      <c r="A468" s="10" t="s">
        <v>415</v>
      </c>
      <c r="B468" s="8" t="s">
        <v>58</v>
      </c>
      <c r="C468" s="8" t="s">
        <v>32</v>
      </c>
      <c r="D468" s="8" t="s">
        <v>136</v>
      </c>
      <c r="E468" s="8"/>
      <c r="F468" s="9">
        <f>F470+F471+F469</f>
        <v>6505</v>
      </c>
      <c r="G468" s="9">
        <f>G470+G471+G469</f>
        <v>6505</v>
      </c>
      <c r="H468" s="9">
        <f>H470+H471+H469</f>
        <v>6505</v>
      </c>
    </row>
    <row r="469" spans="1:8" ht="25.5" x14ac:dyDescent="0.2">
      <c r="A469" s="28" t="s">
        <v>20</v>
      </c>
      <c r="B469" s="24" t="s">
        <v>58</v>
      </c>
      <c r="C469" s="24" t="s">
        <v>32</v>
      </c>
      <c r="D469" s="24" t="s">
        <v>136</v>
      </c>
      <c r="E469" s="25" t="s">
        <v>12</v>
      </c>
      <c r="F469" s="26">
        <f>3.5</f>
        <v>3.5</v>
      </c>
      <c r="G469" s="26">
        <f>3.5</f>
        <v>3.5</v>
      </c>
      <c r="H469" s="26">
        <f>3.5</f>
        <v>3.5</v>
      </c>
    </row>
    <row r="470" spans="1:8" x14ac:dyDescent="0.2">
      <c r="A470" s="27" t="s">
        <v>13</v>
      </c>
      <c r="B470" s="24" t="s">
        <v>58</v>
      </c>
      <c r="C470" s="24" t="s">
        <v>32</v>
      </c>
      <c r="D470" s="24" t="s">
        <v>136</v>
      </c>
      <c r="E470" s="30">
        <v>300</v>
      </c>
      <c r="F470" s="26">
        <f>350</f>
        <v>350</v>
      </c>
      <c r="G470" s="26">
        <f>350</f>
        <v>350</v>
      </c>
      <c r="H470" s="26">
        <f>350</f>
        <v>350</v>
      </c>
    </row>
    <row r="471" spans="1:8" ht="25.5" x14ac:dyDescent="0.2">
      <c r="A471" s="28" t="s">
        <v>286</v>
      </c>
      <c r="B471" s="24" t="s">
        <v>58</v>
      </c>
      <c r="C471" s="24" t="s">
        <v>32</v>
      </c>
      <c r="D471" s="24" t="s">
        <v>136</v>
      </c>
      <c r="E471" s="24" t="s">
        <v>8</v>
      </c>
      <c r="F471" s="26">
        <f>6151.5</f>
        <v>6151.5</v>
      </c>
      <c r="G471" s="26">
        <f>6151.5</f>
        <v>6151.5</v>
      </c>
      <c r="H471" s="26">
        <f>6151.5</f>
        <v>6151.5</v>
      </c>
    </row>
    <row r="472" spans="1:8" ht="102" x14ac:dyDescent="0.2">
      <c r="A472" s="10" t="s">
        <v>416</v>
      </c>
      <c r="B472" s="8" t="s">
        <v>58</v>
      </c>
      <c r="C472" s="8" t="s">
        <v>32</v>
      </c>
      <c r="D472" s="8" t="s">
        <v>137</v>
      </c>
      <c r="E472" s="8"/>
      <c r="F472" s="9">
        <f>F474+F473</f>
        <v>37881</v>
      </c>
      <c r="G472" s="9">
        <f>G474+G473</f>
        <v>37881</v>
      </c>
      <c r="H472" s="9">
        <f>H474+H473</f>
        <v>37881</v>
      </c>
    </row>
    <row r="473" spans="1:8" ht="25.5" x14ac:dyDescent="0.2">
      <c r="A473" s="28" t="s">
        <v>20</v>
      </c>
      <c r="B473" s="24" t="s">
        <v>58</v>
      </c>
      <c r="C473" s="24" t="s">
        <v>32</v>
      </c>
      <c r="D473" s="24" t="s">
        <v>137</v>
      </c>
      <c r="E473" s="25" t="s">
        <v>12</v>
      </c>
      <c r="F473" s="26"/>
      <c r="G473" s="26"/>
      <c r="H473" s="26"/>
    </row>
    <row r="474" spans="1:8" x14ac:dyDescent="0.2">
      <c r="A474" s="28" t="s">
        <v>13</v>
      </c>
      <c r="B474" s="24" t="s">
        <v>58</v>
      </c>
      <c r="C474" s="24" t="s">
        <v>32</v>
      </c>
      <c r="D474" s="24" t="s">
        <v>137</v>
      </c>
      <c r="E474" s="24" t="s">
        <v>14</v>
      </c>
      <c r="F474" s="26">
        <f>29732+8149</f>
        <v>37881</v>
      </c>
      <c r="G474" s="26">
        <f t="shared" ref="G474:H474" si="45">29732+8149</f>
        <v>37881</v>
      </c>
      <c r="H474" s="26">
        <f t="shared" si="45"/>
        <v>37881</v>
      </c>
    </row>
    <row r="475" spans="1:8" ht="51" x14ac:dyDescent="0.2">
      <c r="A475" s="10" t="s">
        <v>417</v>
      </c>
      <c r="B475" s="8" t="s">
        <v>58</v>
      </c>
      <c r="C475" s="8" t="s">
        <v>32</v>
      </c>
      <c r="D475" s="8" t="s">
        <v>107</v>
      </c>
      <c r="E475" s="8"/>
      <c r="F475" s="9">
        <f>F476</f>
        <v>736</v>
      </c>
      <c r="G475" s="9">
        <f>G476</f>
        <v>770</v>
      </c>
      <c r="H475" s="9">
        <f>H476</f>
        <v>801</v>
      </c>
    </row>
    <row r="476" spans="1:8" x14ac:dyDescent="0.2">
      <c r="A476" s="28" t="s">
        <v>13</v>
      </c>
      <c r="B476" s="24" t="s">
        <v>58</v>
      </c>
      <c r="C476" s="24" t="s">
        <v>32</v>
      </c>
      <c r="D476" s="24" t="s">
        <v>107</v>
      </c>
      <c r="E476" s="24" t="s">
        <v>14</v>
      </c>
      <c r="F476" s="26">
        <f>736</f>
        <v>736</v>
      </c>
      <c r="G476" s="26">
        <f>770</f>
        <v>770</v>
      </c>
      <c r="H476" s="26">
        <f>801</f>
        <v>801</v>
      </c>
    </row>
    <row r="477" spans="1:8" ht="89.25" x14ac:dyDescent="0.2">
      <c r="A477" s="10" t="s">
        <v>418</v>
      </c>
      <c r="B477" s="8" t="s">
        <v>58</v>
      </c>
      <c r="C477" s="8" t="s">
        <v>32</v>
      </c>
      <c r="D477" s="8" t="s">
        <v>111</v>
      </c>
      <c r="E477" s="8"/>
      <c r="F477" s="9">
        <f>F479+F478</f>
        <v>54334</v>
      </c>
      <c r="G477" s="9">
        <f>G479+G478</f>
        <v>54589</v>
      </c>
      <c r="H477" s="9">
        <f>H479+H478</f>
        <v>54439</v>
      </c>
    </row>
    <row r="478" spans="1:8" ht="25.5" x14ac:dyDescent="0.2">
      <c r="A478" s="28" t="s">
        <v>20</v>
      </c>
      <c r="B478" s="24" t="s">
        <v>58</v>
      </c>
      <c r="C478" s="24" t="s">
        <v>32</v>
      </c>
      <c r="D478" s="8" t="s">
        <v>111</v>
      </c>
      <c r="E478" s="25" t="s">
        <v>12</v>
      </c>
      <c r="F478" s="26">
        <v>2</v>
      </c>
      <c r="G478" s="26">
        <v>2</v>
      </c>
      <c r="H478" s="26">
        <v>2</v>
      </c>
    </row>
    <row r="479" spans="1:8" x14ac:dyDescent="0.2">
      <c r="A479" s="28" t="s">
        <v>13</v>
      </c>
      <c r="B479" s="24" t="s">
        <v>58</v>
      </c>
      <c r="C479" s="24" t="s">
        <v>32</v>
      </c>
      <c r="D479" s="8" t="s">
        <v>111</v>
      </c>
      <c r="E479" s="24" t="s">
        <v>14</v>
      </c>
      <c r="F479" s="26">
        <f>54332</f>
        <v>54332</v>
      </c>
      <c r="G479" s="26">
        <f>54587</f>
        <v>54587</v>
      </c>
      <c r="H479" s="26">
        <f>54437</f>
        <v>54437</v>
      </c>
    </row>
    <row r="480" spans="1:8" ht="76.5" x14ac:dyDescent="0.2">
      <c r="A480" s="50" t="s">
        <v>419</v>
      </c>
      <c r="B480" s="8" t="s">
        <v>58</v>
      </c>
      <c r="C480" s="8" t="s">
        <v>32</v>
      </c>
      <c r="D480" s="8" t="s">
        <v>141</v>
      </c>
      <c r="E480" s="8"/>
      <c r="F480" s="9">
        <f>F482+F481</f>
        <v>30904</v>
      </c>
      <c r="G480" s="9">
        <f>G482+G481</f>
        <v>31298</v>
      </c>
      <c r="H480" s="9">
        <f>H482+H481</f>
        <v>27202</v>
      </c>
    </row>
    <row r="481" spans="1:8" ht="25.5" x14ac:dyDescent="0.2">
      <c r="A481" s="28" t="s">
        <v>20</v>
      </c>
      <c r="B481" s="24" t="s">
        <v>58</v>
      </c>
      <c r="C481" s="24" t="s">
        <v>32</v>
      </c>
      <c r="D481" s="24" t="s">
        <v>141</v>
      </c>
      <c r="E481" s="25" t="s">
        <v>12</v>
      </c>
      <c r="F481" s="26">
        <f>155</f>
        <v>155</v>
      </c>
      <c r="G481" s="26">
        <f>157</f>
        <v>157</v>
      </c>
      <c r="H481" s="26">
        <f>136</f>
        <v>136</v>
      </c>
    </row>
    <row r="482" spans="1:8" x14ac:dyDescent="0.2">
      <c r="A482" s="28" t="s">
        <v>13</v>
      </c>
      <c r="B482" s="24" t="s">
        <v>58</v>
      </c>
      <c r="C482" s="24" t="s">
        <v>32</v>
      </c>
      <c r="D482" s="24" t="s">
        <v>141</v>
      </c>
      <c r="E482" s="24" t="s">
        <v>14</v>
      </c>
      <c r="F482" s="26">
        <f>30749</f>
        <v>30749</v>
      </c>
      <c r="G482" s="26">
        <f>31141</f>
        <v>31141</v>
      </c>
      <c r="H482" s="26">
        <f>27066</f>
        <v>27066</v>
      </c>
    </row>
    <row r="483" spans="1:8" ht="38.25" x14ac:dyDescent="0.2">
      <c r="A483" s="10" t="s">
        <v>420</v>
      </c>
      <c r="B483" s="8" t="s">
        <v>58</v>
      </c>
      <c r="C483" s="8" t="s">
        <v>32</v>
      </c>
      <c r="D483" s="8" t="s">
        <v>113</v>
      </c>
      <c r="E483" s="8"/>
      <c r="F483" s="9">
        <f>F485+F484</f>
        <v>30293</v>
      </c>
      <c r="G483" s="9">
        <f>G485+G484</f>
        <v>30293</v>
      </c>
      <c r="H483" s="9">
        <f>H485+H484</f>
        <v>30293</v>
      </c>
    </row>
    <row r="484" spans="1:8" ht="25.5" x14ac:dyDescent="0.2">
      <c r="A484" s="28" t="s">
        <v>20</v>
      </c>
      <c r="B484" s="24" t="s">
        <v>58</v>
      </c>
      <c r="C484" s="24" t="s">
        <v>32</v>
      </c>
      <c r="D484" s="24" t="s">
        <v>113</v>
      </c>
      <c r="E484" s="25" t="s">
        <v>12</v>
      </c>
      <c r="F484" s="26">
        <f>1</f>
        <v>1</v>
      </c>
      <c r="G484" s="26">
        <f>1</f>
        <v>1</v>
      </c>
      <c r="H484" s="26">
        <f>1</f>
        <v>1</v>
      </c>
    </row>
    <row r="485" spans="1:8" x14ac:dyDescent="0.2">
      <c r="A485" s="28" t="s">
        <v>13</v>
      </c>
      <c r="B485" s="24" t="s">
        <v>58</v>
      </c>
      <c r="C485" s="24" t="s">
        <v>32</v>
      </c>
      <c r="D485" s="24" t="s">
        <v>113</v>
      </c>
      <c r="E485" s="24" t="s">
        <v>14</v>
      </c>
      <c r="F485" s="26">
        <f>30292</f>
        <v>30292</v>
      </c>
      <c r="G485" s="26">
        <f>30292</f>
        <v>30292</v>
      </c>
      <c r="H485" s="26">
        <f>30292</f>
        <v>30292</v>
      </c>
    </row>
    <row r="486" spans="1:8" x14ac:dyDescent="0.2">
      <c r="A486" s="14" t="s">
        <v>0</v>
      </c>
      <c r="B486" s="11" t="s">
        <v>58</v>
      </c>
      <c r="C486" s="11" t="s">
        <v>56</v>
      </c>
      <c r="D486" s="11"/>
      <c r="E486" s="11"/>
      <c r="F486" s="12">
        <f>F487+F490+F494+F496+F503+F499+F501+F507</f>
        <v>24514.400000000001</v>
      </c>
      <c r="G486" s="12">
        <f t="shared" ref="G486:H486" si="46">G487+G490+G494+G496+G503+G499+G501+G507</f>
        <v>24446.400000000001</v>
      </c>
      <c r="H486" s="12">
        <f t="shared" si="46"/>
        <v>24431.4</v>
      </c>
    </row>
    <row r="487" spans="1:8" x14ac:dyDescent="0.2">
      <c r="A487" s="10" t="s">
        <v>421</v>
      </c>
      <c r="B487" s="8" t="s">
        <v>58</v>
      </c>
      <c r="C487" s="8" t="s">
        <v>56</v>
      </c>
      <c r="D487" s="8" t="s">
        <v>422</v>
      </c>
      <c r="E487" s="8"/>
      <c r="F487" s="9">
        <f>F489+F488</f>
        <v>116.19999999999999</v>
      </c>
      <c r="G487" s="9">
        <f>G489+G488</f>
        <v>116.19999999999999</v>
      </c>
      <c r="H487" s="9">
        <f>H489+H488</f>
        <v>116.19999999999999</v>
      </c>
    </row>
    <row r="488" spans="1:8" ht="25.5" x14ac:dyDescent="0.2">
      <c r="A488" s="28" t="s">
        <v>20</v>
      </c>
      <c r="B488" s="24" t="s">
        <v>58</v>
      </c>
      <c r="C488" s="24" t="s">
        <v>56</v>
      </c>
      <c r="D488" s="24" t="s">
        <v>422</v>
      </c>
      <c r="E488" s="25" t="s">
        <v>12</v>
      </c>
      <c r="F488" s="26">
        <v>0.6</v>
      </c>
      <c r="G488" s="26">
        <v>0.6</v>
      </c>
      <c r="H488" s="26">
        <v>0.6</v>
      </c>
    </row>
    <row r="489" spans="1:8" x14ac:dyDescent="0.2">
      <c r="A489" s="28" t="s">
        <v>13</v>
      </c>
      <c r="B489" s="24" t="s">
        <v>58</v>
      </c>
      <c r="C489" s="24" t="s">
        <v>56</v>
      </c>
      <c r="D489" s="24" t="s">
        <v>422</v>
      </c>
      <c r="E489" s="24" t="s">
        <v>14</v>
      </c>
      <c r="F489" s="26">
        <v>115.6</v>
      </c>
      <c r="G489" s="26">
        <v>115.6</v>
      </c>
      <c r="H489" s="26">
        <v>115.6</v>
      </c>
    </row>
    <row r="490" spans="1:8" x14ac:dyDescent="0.2">
      <c r="A490" s="10" t="s">
        <v>424</v>
      </c>
      <c r="B490" s="8" t="s">
        <v>58</v>
      </c>
      <c r="C490" s="8" t="s">
        <v>56</v>
      </c>
      <c r="D490" s="8" t="s">
        <v>423</v>
      </c>
      <c r="E490" s="8"/>
      <c r="F490" s="9">
        <f>F491+F492+F493</f>
        <v>846.9</v>
      </c>
      <c r="G490" s="9">
        <f>G491+G492+G493</f>
        <v>846.9</v>
      </c>
      <c r="H490" s="9">
        <f>H491+H492+H493</f>
        <v>846.9</v>
      </c>
    </row>
    <row r="491" spans="1:8" ht="25.5" x14ac:dyDescent="0.2">
      <c r="A491" s="28" t="s">
        <v>20</v>
      </c>
      <c r="B491" s="24" t="s">
        <v>58</v>
      </c>
      <c r="C491" s="24" t="s">
        <v>56</v>
      </c>
      <c r="D491" s="24" t="s">
        <v>423</v>
      </c>
      <c r="E491" s="24" t="s">
        <v>12</v>
      </c>
      <c r="F491" s="26">
        <v>574.5</v>
      </c>
      <c r="G491" s="26">
        <v>574.5</v>
      </c>
      <c r="H491" s="26">
        <v>574.5</v>
      </c>
    </row>
    <row r="492" spans="1:8" x14ac:dyDescent="0.2">
      <c r="A492" s="28" t="s">
        <v>13</v>
      </c>
      <c r="B492" s="24" t="s">
        <v>58</v>
      </c>
      <c r="C492" s="24" t="s">
        <v>56</v>
      </c>
      <c r="D492" s="24" t="s">
        <v>423</v>
      </c>
      <c r="E492" s="25" t="s">
        <v>14</v>
      </c>
      <c r="F492" s="26">
        <v>227.3</v>
      </c>
      <c r="G492" s="26">
        <v>227.3</v>
      </c>
      <c r="H492" s="26">
        <v>227.3</v>
      </c>
    </row>
    <row r="493" spans="1:8" x14ac:dyDescent="0.2">
      <c r="A493" s="28" t="s">
        <v>16</v>
      </c>
      <c r="B493" s="24" t="s">
        <v>58</v>
      </c>
      <c r="C493" s="24" t="s">
        <v>56</v>
      </c>
      <c r="D493" s="24" t="s">
        <v>423</v>
      </c>
      <c r="E493" s="24" t="s">
        <v>17</v>
      </c>
      <c r="F493" s="26">
        <v>45.1</v>
      </c>
      <c r="G493" s="26">
        <v>45.1</v>
      </c>
      <c r="H493" s="26">
        <v>45.1</v>
      </c>
    </row>
    <row r="494" spans="1:8" x14ac:dyDescent="0.2">
      <c r="A494" s="10" t="s">
        <v>426</v>
      </c>
      <c r="B494" s="8" t="s">
        <v>58</v>
      </c>
      <c r="C494" s="8" t="s">
        <v>56</v>
      </c>
      <c r="D494" s="8" t="s">
        <v>425</v>
      </c>
      <c r="E494" s="8"/>
      <c r="F494" s="9">
        <f>F495</f>
        <v>816</v>
      </c>
      <c r="G494" s="9">
        <f>G495</f>
        <v>816</v>
      </c>
      <c r="H494" s="9">
        <f>H495</f>
        <v>816</v>
      </c>
    </row>
    <row r="495" spans="1:8" ht="25.5" x14ac:dyDescent="0.2">
      <c r="A495" s="28" t="s">
        <v>286</v>
      </c>
      <c r="B495" s="24" t="s">
        <v>58</v>
      </c>
      <c r="C495" s="24" t="s">
        <v>56</v>
      </c>
      <c r="D495" s="24" t="s">
        <v>425</v>
      </c>
      <c r="E495" s="24" t="s">
        <v>8</v>
      </c>
      <c r="F495" s="26">
        <v>816</v>
      </c>
      <c r="G495" s="26">
        <v>816</v>
      </c>
      <c r="H495" s="26">
        <v>816</v>
      </c>
    </row>
    <row r="496" spans="1:8" x14ac:dyDescent="0.2">
      <c r="A496" s="10" t="s">
        <v>427</v>
      </c>
      <c r="B496" s="8" t="s">
        <v>58</v>
      </c>
      <c r="C496" s="8" t="s">
        <v>56</v>
      </c>
      <c r="D496" s="8" t="s">
        <v>428</v>
      </c>
      <c r="E496" s="8"/>
      <c r="F496" s="9">
        <f>F498+F497</f>
        <v>876.6</v>
      </c>
      <c r="G496" s="9">
        <f t="shared" ref="G496:H496" si="47">G498+G497</f>
        <v>876.6</v>
      </c>
      <c r="H496" s="9">
        <f t="shared" si="47"/>
        <v>876.6</v>
      </c>
    </row>
    <row r="497" spans="1:8" ht="25.5" x14ac:dyDescent="0.2">
      <c r="A497" s="28" t="s">
        <v>20</v>
      </c>
      <c r="B497" s="24" t="s">
        <v>58</v>
      </c>
      <c r="C497" s="24" t="s">
        <v>56</v>
      </c>
      <c r="D497" s="24" t="s">
        <v>428</v>
      </c>
      <c r="E497" s="24" t="s">
        <v>12</v>
      </c>
      <c r="F497" s="26">
        <v>360</v>
      </c>
      <c r="G497" s="26">
        <v>360</v>
      </c>
      <c r="H497" s="26">
        <v>360</v>
      </c>
    </row>
    <row r="498" spans="1:8" x14ac:dyDescent="0.2">
      <c r="A498" s="28" t="s">
        <v>13</v>
      </c>
      <c r="B498" s="24" t="s">
        <v>58</v>
      </c>
      <c r="C498" s="24" t="s">
        <v>56</v>
      </c>
      <c r="D498" s="24" t="s">
        <v>428</v>
      </c>
      <c r="E498" s="24" t="s">
        <v>14</v>
      </c>
      <c r="F498" s="26">
        <f>516.6</f>
        <v>516.6</v>
      </c>
      <c r="G498" s="26">
        <f t="shared" ref="G498:H498" si="48">516.6</f>
        <v>516.6</v>
      </c>
      <c r="H498" s="26">
        <f t="shared" si="48"/>
        <v>516.6</v>
      </c>
    </row>
    <row r="499" spans="1:8" ht="25.5" x14ac:dyDescent="0.2">
      <c r="A499" s="10" t="s">
        <v>429</v>
      </c>
      <c r="B499" s="8" t="s">
        <v>58</v>
      </c>
      <c r="C499" s="8" t="s">
        <v>56</v>
      </c>
      <c r="D499" s="8" t="s">
        <v>430</v>
      </c>
      <c r="E499" s="8"/>
      <c r="F499" s="9">
        <f>F500</f>
        <v>2706.7</v>
      </c>
      <c r="G499" s="9">
        <f>G500</f>
        <v>2706.7</v>
      </c>
      <c r="H499" s="9">
        <f>H500</f>
        <v>2706.7</v>
      </c>
    </row>
    <row r="500" spans="1:8" x14ac:dyDescent="0.2">
      <c r="A500" s="28" t="s">
        <v>13</v>
      </c>
      <c r="B500" s="24" t="s">
        <v>58</v>
      </c>
      <c r="C500" s="24" t="s">
        <v>56</v>
      </c>
      <c r="D500" s="24" t="s">
        <v>430</v>
      </c>
      <c r="E500" s="24" t="s">
        <v>14</v>
      </c>
      <c r="F500" s="26">
        <f>2706.7</f>
        <v>2706.7</v>
      </c>
      <c r="G500" s="26">
        <f t="shared" ref="G500:H500" si="49">2706.7</f>
        <v>2706.7</v>
      </c>
      <c r="H500" s="26">
        <f t="shared" si="49"/>
        <v>2706.7</v>
      </c>
    </row>
    <row r="501" spans="1:8" ht="64.5" thickBot="1" x14ac:dyDescent="0.25">
      <c r="A501" s="45" t="s">
        <v>431</v>
      </c>
      <c r="B501" s="8" t="s">
        <v>58</v>
      </c>
      <c r="C501" s="8" t="s">
        <v>56</v>
      </c>
      <c r="D501" s="8" t="s">
        <v>432</v>
      </c>
      <c r="E501" s="8"/>
      <c r="F501" s="9">
        <f>F502</f>
        <v>144</v>
      </c>
      <c r="G501" s="9">
        <f>G502</f>
        <v>144</v>
      </c>
      <c r="H501" s="9">
        <f>H502</f>
        <v>144</v>
      </c>
    </row>
    <row r="502" spans="1:8" x14ac:dyDescent="0.2">
      <c r="A502" s="28" t="s">
        <v>13</v>
      </c>
      <c r="B502" s="24" t="s">
        <v>58</v>
      </c>
      <c r="C502" s="24" t="s">
        <v>56</v>
      </c>
      <c r="D502" s="24" t="s">
        <v>432</v>
      </c>
      <c r="E502" s="24" t="s">
        <v>14</v>
      </c>
      <c r="F502" s="26">
        <f>144</f>
        <v>144</v>
      </c>
      <c r="G502" s="26">
        <f>144</f>
        <v>144</v>
      </c>
      <c r="H502" s="26">
        <f>144</f>
        <v>144</v>
      </c>
    </row>
    <row r="503" spans="1:8" ht="25.5" x14ac:dyDescent="0.2">
      <c r="A503" s="10" t="s">
        <v>433</v>
      </c>
      <c r="B503" s="8" t="s">
        <v>58</v>
      </c>
      <c r="C503" s="8" t="s">
        <v>56</v>
      </c>
      <c r="D503" s="8" t="s">
        <v>105</v>
      </c>
      <c r="E503" s="8"/>
      <c r="F503" s="9">
        <f>F504+F505+F506</f>
        <v>18908</v>
      </c>
      <c r="G503" s="9">
        <f>G504+G505+G506</f>
        <v>18840</v>
      </c>
      <c r="H503" s="9">
        <f>H504+H505+H506</f>
        <v>18825</v>
      </c>
    </row>
    <row r="504" spans="1:8" ht="51" x14ac:dyDescent="0.2">
      <c r="A504" s="23" t="s">
        <v>9</v>
      </c>
      <c r="B504" s="24" t="s">
        <v>58</v>
      </c>
      <c r="C504" s="24" t="s">
        <v>56</v>
      </c>
      <c r="D504" s="24" t="s">
        <v>105</v>
      </c>
      <c r="E504" s="25" t="s">
        <v>10</v>
      </c>
      <c r="F504" s="26">
        <f>13667+4127+4.7</f>
        <v>17798.7</v>
      </c>
      <c r="G504" s="26">
        <f>13667+4127+4.7</f>
        <v>17798.7</v>
      </c>
      <c r="H504" s="26">
        <f>13667+4127+4.7</f>
        <v>17798.7</v>
      </c>
    </row>
    <row r="505" spans="1:8" ht="25.5" x14ac:dyDescent="0.2">
      <c r="A505" s="28" t="s">
        <v>20</v>
      </c>
      <c r="B505" s="24" t="s">
        <v>58</v>
      </c>
      <c r="C505" s="24" t="s">
        <v>56</v>
      </c>
      <c r="D505" s="24" t="s">
        <v>105</v>
      </c>
      <c r="E505" s="25" t="s">
        <v>12</v>
      </c>
      <c r="F505" s="26">
        <f>310.4+794.9</f>
        <v>1105.3</v>
      </c>
      <c r="G505" s="26">
        <f>310.4+726.9</f>
        <v>1037.3</v>
      </c>
      <c r="H505" s="26">
        <f>310.4+711.9</f>
        <v>1022.3</v>
      </c>
    </row>
    <row r="506" spans="1:8" x14ac:dyDescent="0.2">
      <c r="A506" s="28" t="s">
        <v>16</v>
      </c>
      <c r="B506" s="24" t="s">
        <v>58</v>
      </c>
      <c r="C506" s="24" t="s">
        <v>56</v>
      </c>
      <c r="D506" s="24" t="s">
        <v>105</v>
      </c>
      <c r="E506" s="24" t="s">
        <v>17</v>
      </c>
      <c r="F506" s="26">
        <f>4</f>
        <v>4</v>
      </c>
      <c r="G506" s="26">
        <f>4</f>
        <v>4</v>
      </c>
      <c r="H506" s="26">
        <f>4</f>
        <v>4</v>
      </c>
    </row>
    <row r="507" spans="1:8" x14ac:dyDescent="0.2">
      <c r="A507" s="10" t="s">
        <v>372</v>
      </c>
      <c r="B507" s="6" t="s">
        <v>58</v>
      </c>
      <c r="C507" s="8" t="s">
        <v>56</v>
      </c>
      <c r="D507" s="6" t="s">
        <v>373</v>
      </c>
      <c r="E507" s="8"/>
      <c r="F507" s="9">
        <f>F509+F508</f>
        <v>100</v>
      </c>
      <c r="G507" s="9">
        <f t="shared" ref="G507:H507" si="50">G509+G508</f>
        <v>100</v>
      </c>
      <c r="H507" s="9">
        <f t="shared" si="50"/>
        <v>100</v>
      </c>
    </row>
    <row r="508" spans="1:8" ht="25.5" x14ac:dyDescent="0.2">
      <c r="A508" s="23" t="s">
        <v>11</v>
      </c>
      <c r="B508" s="24" t="s">
        <v>58</v>
      </c>
      <c r="C508" s="24" t="s">
        <v>56</v>
      </c>
      <c r="D508" s="24" t="s">
        <v>373</v>
      </c>
      <c r="E508" s="24" t="s">
        <v>12</v>
      </c>
      <c r="F508" s="26">
        <v>0.5</v>
      </c>
      <c r="G508" s="26">
        <v>0.5</v>
      </c>
      <c r="H508" s="26">
        <v>0.5</v>
      </c>
    </row>
    <row r="509" spans="1:8" x14ac:dyDescent="0.2">
      <c r="A509" s="28" t="s">
        <v>13</v>
      </c>
      <c r="B509" s="24" t="s">
        <v>58</v>
      </c>
      <c r="C509" s="24" t="s">
        <v>56</v>
      </c>
      <c r="D509" s="24" t="s">
        <v>373</v>
      </c>
      <c r="E509" s="24" t="s">
        <v>14</v>
      </c>
      <c r="F509" s="26">
        <v>99.5</v>
      </c>
      <c r="G509" s="26">
        <v>99.5</v>
      </c>
      <c r="H509" s="26">
        <v>99.5</v>
      </c>
    </row>
    <row r="510" spans="1:8" ht="15.75" x14ac:dyDescent="0.25">
      <c r="A510" s="38" t="s">
        <v>57</v>
      </c>
      <c r="B510" s="36" t="s">
        <v>35</v>
      </c>
      <c r="C510" s="36" t="s">
        <v>26</v>
      </c>
      <c r="D510" s="36"/>
      <c r="E510" s="36"/>
      <c r="F510" s="37">
        <f>F511+F521+F524</f>
        <v>6803.4</v>
      </c>
      <c r="G510" s="37">
        <f>G511+G521+G524</f>
        <v>6803.4</v>
      </c>
      <c r="H510" s="37">
        <f>H511+H521+H524</f>
        <v>6803.4</v>
      </c>
    </row>
    <row r="511" spans="1:8" x14ac:dyDescent="0.2">
      <c r="A511" s="14" t="s">
        <v>65</v>
      </c>
      <c r="B511" s="11" t="s">
        <v>35</v>
      </c>
      <c r="C511" s="11" t="s">
        <v>25</v>
      </c>
      <c r="D511" s="11"/>
      <c r="E511" s="11"/>
      <c r="F511" s="12">
        <f>F514+F517+F519+F512</f>
        <v>5682.4</v>
      </c>
      <c r="G511" s="12">
        <f>G514+G517+G519+G512</f>
        <v>5682.4</v>
      </c>
      <c r="H511" s="12">
        <f>H514+H517+H519+H512</f>
        <v>5682.4</v>
      </c>
    </row>
    <row r="512" spans="1:8" s="7" customFormat="1" ht="25.5" x14ac:dyDescent="0.2">
      <c r="A512" s="5" t="s">
        <v>219</v>
      </c>
      <c r="B512" s="8" t="s">
        <v>35</v>
      </c>
      <c r="C512" s="8" t="s">
        <v>25</v>
      </c>
      <c r="D512" s="8" t="s">
        <v>218</v>
      </c>
      <c r="E512" s="1"/>
      <c r="F512" s="2">
        <f>F513</f>
        <v>13</v>
      </c>
      <c r="G512" s="2">
        <f>G513</f>
        <v>13</v>
      </c>
      <c r="H512" s="2">
        <f>H513</f>
        <v>13</v>
      </c>
    </row>
    <row r="513" spans="1:8" s="27" customFormat="1" ht="25.5" x14ac:dyDescent="0.2">
      <c r="A513" s="28" t="s">
        <v>286</v>
      </c>
      <c r="B513" s="24" t="s">
        <v>35</v>
      </c>
      <c r="C513" s="24" t="s">
        <v>25</v>
      </c>
      <c r="D513" s="24" t="s">
        <v>218</v>
      </c>
      <c r="E513" s="24" t="s">
        <v>8</v>
      </c>
      <c r="F513" s="26">
        <v>13</v>
      </c>
      <c r="G513" s="26">
        <v>13</v>
      </c>
      <c r="H513" s="26">
        <v>13</v>
      </c>
    </row>
    <row r="514" spans="1:8" ht="25.5" x14ac:dyDescent="0.2">
      <c r="A514" s="10" t="s">
        <v>435</v>
      </c>
      <c r="B514" s="8" t="s">
        <v>35</v>
      </c>
      <c r="C514" s="8" t="s">
        <v>25</v>
      </c>
      <c r="D514" s="8" t="s">
        <v>434</v>
      </c>
      <c r="E514" s="8"/>
      <c r="F514" s="9">
        <f>F516+F515</f>
        <v>5469.4</v>
      </c>
      <c r="G514" s="9">
        <f>G516+G515</f>
        <v>5469.4</v>
      </c>
      <c r="H514" s="9">
        <f>H516+H515</f>
        <v>5469.4</v>
      </c>
    </row>
    <row r="515" spans="1:8" ht="25.5" x14ac:dyDescent="0.2">
      <c r="A515" s="28" t="s">
        <v>20</v>
      </c>
      <c r="B515" s="24" t="s">
        <v>35</v>
      </c>
      <c r="C515" s="24" t="s">
        <v>25</v>
      </c>
      <c r="D515" s="24" t="s">
        <v>434</v>
      </c>
      <c r="E515" s="25" t="s">
        <v>12</v>
      </c>
      <c r="F515" s="26">
        <v>35</v>
      </c>
      <c r="G515" s="26">
        <v>35</v>
      </c>
      <c r="H515" s="26">
        <v>35</v>
      </c>
    </row>
    <row r="516" spans="1:8" ht="25.5" x14ac:dyDescent="0.2">
      <c r="A516" s="28" t="s">
        <v>286</v>
      </c>
      <c r="B516" s="24" t="s">
        <v>35</v>
      </c>
      <c r="C516" s="24" t="s">
        <v>25</v>
      </c>
      <c r="D516" s="24" t="s">
        <v>434</v>
      </c>
      <c r="E516" s="24" t="s">
        <v>8</v>
      </c>
      <c r="F516" s="26">
        <v>5434.4</v>
      </c>
      <c r="G516" s="26">
        <v>5434.4</v>
      </c>
      <c r="H516" s="26">
        <v>5434.4</v>
      </c>
    </row>
    <row r="517" spans="1:8" ht="25.5" x14ac:dyDescent="0.2">
      <c r="A517" s="10" t="s">
        <v>437</v>
      </c>
      <c r="B517" s="8" t="s">
        <v>35</v>
      </c>
      <c r="C517" s="8" t="s">
        <v>25</v>
      </c>
      <c r="D517" s="8" t="s">
        <v>436</v>
      </c>
      <c r="E517" s="8"/>
      <c r="F517" s="9">
        <f>F518</f>
        <v>0</v>
      </c>
      <c r="G517" s="9">
        <f>G518</f>
        <v>0</v>
      </c>
      <c r="H517" s="9">
        <f>H518</f>
        <v>0</v>
      </c>
    </row>
    <row r="518" spans="1:8" ht="25.5" x14ac:dyDescent="0.2">
      <c r="A518" s="28" t="s">
        <v>20</v>
      </c>
      <c r="B518" s="24" t="s">
        <v>35</v>
      </c>
      <c r="C518" s="24" t="s">
        <v>25</v>
      </c>
      <c r="D518" s="24" t="s">
        <v>436</v>
      </c>
      <c r="E518" s="25" t="s">
        <v>12</v>
      </c>
      <c r="F518" s="26"/>
      <c r="G518" s="26"/>
      <c r="H518" s="26"/>
    </row>
    <row r="519" spans="1:8" ht="38.25" x14ac:dyDescent="0.2">
      <c r="A519" s="10" t="s">
        <v>439</v>
      </c>
      <c r="B519" s="8" t="s">
        <v>35</v>
      </c>
      <c r="C519" s="8" t="s">
        <v>25</v>
      </c>
      <c r="D519" s="8" t="s">
        <v>438</v>
      </c>
      <c r="E519" s="8"/>
      <c r="F519" s="9">
        <f>F520</f>
        <v>200</v>
      </c>
      <c r="G519" s="9">
        <f>G520</f>
        <v>200</v>
      </c>
      <c r="H519" s="9">
        <f>H520</f>
        <v>200</v>
      </c>
    </row>
    <row r="520" spans="1:8" ht="25.5" x14ac:dyDescent="0.2">
      <c r="A520" s="28" t="s">
        <v>20</v>
      </c>
      <c r="B520" s="24" t="s">
        <v>35</v>
      </c>
      <c r="C520" s="24" t="s">
        <v>25</v>
      </c>
      <c r="D520" s="24" t="s">
        <v>438</v>
      </c>
      <c r="E520" s="25" t="s">
        <v>12</v>
      </c>
      <c r="F520" s="26">
        <v>200</v>
      </c>
      <c r="G520" s="26">
        <v>200</v>
      </c>
      <c r="H520" s="26">
        <v>200</v>
      </c>
    </row>
    <row r="521" spans="1:8" x14ac:dyDescent="0.2">
      <c r="A521" s="14" t="s">
        <v>66</v>
      </c>
      <c r="B521" s="11" t="s">
        <v>35</v>
      </c>
      <c r="C521" s="11" t="s">
        <v>28</v>
      </c>
      <c r="D521" s="11"/>
      <c r="E521" s="11"/>
      <c r="F521" s="12">
        <f t="shared" ref="F521:H522" si="51">F522</f>
        <v>460</v>
      </c>
      <c r="G521" s="12">
        <f t="shared" si="51"/>
        <v>460</v>
      </c>
      <c r="H521" s="12">
        <f t="shared" si="51"/>
        <v>460</v>
      </c>
    </row>
    <row r="522" spans="1:8" ht="25.5" x14ac:dyDescent="0.2">
      <c r="A522" s="10" t="s">
        <v>452</v>
      </c>
      <c r="B522" s="8" t="s">
        <v>35</v>
      </c>
      <c r="C522" s="8" t="s">
        <v>28</v>
      </c>
      <c r="D522" s="8" t="s">
        <v>453</v>
      </c>
      <c r="E522" s="8"/>
      <c r="F522" s="9">
        <f t="shared" si="51"/>
        <v>460</v>
      </c>
      <c r="G522" s="9">
        <f t="shared" si="51"/>
        <v>460</v>
      </c>
      <c r="H522" s="9">
        <f t="shared" si="51"/>
        <v>460</v>
      </c>
    </row>
    <row r="523" spans="1:8" ht="25.5" x14ac:dyDescent="0.2">
      <c r="A523" s="28" t="s">
        <v>20</v>
      </c>
      <c r="B523" s="24" t="s">
        <v>35</v>
      </c>
      <c r="C523" s="24" t="s">
        <v>28</v>
      </c>
      <c r="D523" s="24" t="s">
        <v>453</v>
      </c>
      <c r="E523" s="25" t="s">
        <v>12</v>
      </c>
      <c r="F523" s="26">
        <v>460</v>
      </c>
      <c r="G523" s="26">
        <v>460</v>
      </c>
      <c r="H523" s="26">
        <v>460</v>
      </c>
    </row>
    <row r="524" spans="1:8" x14ac:dyDescent="0.2">
      <c r="A524" s="14" t="s">
        <v>6</v>
      </c>
      <c r="B524" s="11" t="s">
        <v>35</v>
      </c>
      <c r="C524" s="11" t="s">
        <v>44</v>
      </c>
      <c r="D524" s="11"/>
      <c r="E524" s="11"/>
      <c r="F524" s="12">
        <f>F525</f>
        <v>661</v>
      </c>
      <c r="G524" s="12">
        <f>G525</f>
        <v>661</v>
      </c>
      <c r="H524" s="12">
        <f>H525</f>
        <v>661</v>
      </c>
    </row>
    <row r="525" spans="1:8" ht="25.5" x14ac:dyDescent="0.2">
      <c r="A525" s="10" t="s">
        <v>441</v>
      </c>
      <c r="B525" s="8" t="s">
        <v>35</v>
      </c>
      <c r="C525" s="8" t="s">
        <v>44</v>
      </c>
      <c r="D525" s="8" t="s">
        <v>440</v>
      </c>
      <c r="E525" s="8"/>
      <c r="F525" s="9">
        <f>F526+F527</f>
        <v>661</v>
      </c>
      <c r="G525" s="9">
        <f>G526+G527</f>
        <v>661</v>
      </c>
      <c r="H525" s="9">
        <f>H526+H527</f>
        <v>661</v>
      </c>
    </row>
    <row r="526" spans="1:8" ht="51" x14ac:dyDescent="0.2">
      <c r="A526" s="23" t="s">
        <v>9</v>
      </c>
      <c r="B526" s="24" t="s">
        <v>35</v>
      </c>
      <c r="C526" s="24" t="s">
        <v>44</v>
      </c>
      <c r="D526" s="24" t="s">
        <v>440</v>
      </c>
      <c r="E526" s="25" t="s">
        <v>10</v>
      </c>
      <c r="F526" s="26">
        <v>609</v>
      </c>
      <c r="G526" s="26">
        <v>609</v>
      </c>
      <c r="H526" s="26">
        <v>609</v>
      </c>
    </row>
    <row r="527" spans="1:8" ht="25.5" x14ac:dyDescent="0.2">
      <c r="A527" s="28" t="s">
        <v>20</v>
      </c>
      <c r="B527" s="24" t="s">
        <v>35</v>
      </c>
      <c r="C527" s="24" t="s">
        <v>44</v>
      </c>
      <c r="D527" s="24" t="s">
        <v>440</v>
      </c>
      <c r="E527" s="25" t="s">
        <v>12</v>
      </c>
      <c r="F527" s="26">
        <v>52</v>
      </c>
      <c r="G527" s="26">
        <v>52</v>
      </c>
      <c r="H527" s="26">
        <v>52</v>
      </c>
    </row>
    <row r="528" spans="1:8" ht="31.5" x14ac:dyDescent="0.25">
      <c r="A528" s="38" t="s">
        <v>34</v>
      </c>
      <c r="B528" s="36" t="s">
        <v>67</v>
      </c>
      <c r="C528" s="36" t="s">
        <v>26</v>
      </c>
      <c r="D528" s="36"/>
      <c r="E528" s="36"/>
      <c r="F528" s="37">
        <f>F529</f>
        <v>816.7</v>
      </c>
      <c r="G528" s="37">
        <f t="shared" ref="G528:H530" si="52">G529</f>
        <v>816.7</v>
      </c>
      <c r="H528" s="37">
        <f t="shared" si="52"/>
        <v>816.7</v>
      </c>
    </row>
    <row r="529" spans="1:10" ht="25.5" x14ac:dyDescent="0.2">
      <c r="A529" s="14" t="s">
        <v>68</v>
      </c>
      <c r="B529" s="11" t="s">
        <v>67</v>
      </c>
      <c r="C529" s="11" t="s">
        <v>25</v>
      </c>
      <c r="D529" s="11"/>
      <c r="E529" s="11"/>
      <c r="F529" s="12">
        <f>F530</f>
        <v>816.7</v>
      </c>
      <c r="G529" s="12">
        <f t="shared" si="52"/>
        <v>816.7</v>
      </c>
      <c r="H529" s="12">
        <f t="shared" si="52"/>
        <v>816.7</v>
      </c>
    </row>
    <row r="530" spans="1:10" ht="25.5" x14ac:dyDescent="0.2">
      <c r="A530" s="10" t="s">
        <v>443</v>
      </c>
      <c r="B530" s="8" t="s">
        <v>67</v>
      </c>
      <c r="C530" s="8" t="s">
        <v>25</v>
      </c>
      <c r="D530" s="8" t="s">
        <v>442</v>
      </c>
      <c r="E530" s="8"/>
      <c r="F530" s="9">
        <f>F531</f>
        <v>816.7</v>
      </c>
      <c r="G530" s="9">
        <f t="shared" si="52"/>
        <v>816.7</v>
      </c>
      <c r="H530" s="9">
        <f t="shared" si="52"/>
        <v>816.7</v>
      </c>
    </row>
    <row r="531" spans="1:10" x14ac:dyDescent="0.2">
      <c r="A531" s="28" t="s">
        <v>19</v>
      </c>
      <c r="B531" s="24" t="s">
        <v>67</v>
      </c>
      <c r="C531" s="24" t="s">
        <v>25</v>
      </c>
      <c r="D531" s="24" t="s">
        <v>442</v>
      </c>
      <c r="E531" s="24" t="s">
        <v>18</v>
      </c>
      <c r="F531" s="26">
        <v>816.7</v>
      </c>
      <c r="G531" s="26">
        <v>816.7</v>
      </c>
      <c r="H531" s="26">
        <v>816.7</v>
      </c>
    </row>
    <row r="532" spans="1:10" x14ac:dyDescent="0.2">
      <c r="A532" s="10" t="s">
        <v>445</v>
      </c>
      <c r="B532" s="8" t="s">
        <v>446</v>
      </c>
      <c r="C532" s="8"/>
      <c r="D532" s="8"/>
      <c r="E532" s="8"/>
      <c r="F532" s="9"/>
      <c r="G532" s="9">
        <f t="shared" ref="G532:H534" si="53">G533</f>
        <v>18452.699999999997</v>
      </c>
      <c r="H532" s="9">
        <f t="shared" si="53"/>
        <v>38534.5</v>
      </c>
      <c r="I532" s="51"/>
      <c r="J532" s="51"/>
    </row>
    <row r="533" spans="1:10" x14ac:dyDescent="0.2">
      <c r="A533" s="10" t="s">
        <v>445</v>
      </c>
      <c r="B533" s="8" t="s">
        <v>446</v>
      </c>
      <c r="C533" s="6" t="s">
        <v>446</v>
      </c>
      <c r="D533" s="8"/>
      <c r="E533" s="8"/>
      <c r="F533" s="9"/>
      <c r="G533" s="9">
        <f t="shared" si="53"/>
        <v>18452.699999999997</v>
      </c>
      <c r="H533" s="9">
        <f t="shared" si="53"/>
        <v>38534.5</v>
      </c>
      <c r="I533" s="51"/>
      <c r="J533" s="51"/>
    </row>
    <row r="534" spans="1:10" x14ac:dyDescent="0.2">
      <c r="A534" s="10" t="s">
        <v>445</v>
      </c>
      <c r="B534" s="8" t="s">
        <v>446</v>
      </c>
      <c r="C534" s="8" t="s">
        <v>446</v>
      </c>
      <c r="D534" s="8" t="s">
        <v>454</v>
      </c>
      <c r="E534" s="8"/>
      <c r="F534" s="9"/>
      <c r="G534" s="9">
        <f t="shared" si="53"/>
        <v>18452.699999999997</v>
      </c>
      <c r="H534" s="9">
        <f t="shared" si="53"/>
        <v>38534.5</v>
      </c>
      <c r="I534" s="51"/>
      <c r="J534" s="51"/>
    </row>
    <row r="535" spans="1:10" x14ac:dyDescent="0.2">
      <c r="A535" s="10" t="s">
        <v>16</v>
      </c>
      <c r="B535" s="8" t="s">
        <v>446</v>
      </c>
      <c r="C535" s="8" t="s">
        <v>446</v>
      </c>
      <c r="D535" s="24" t="s">
        <v>454</v>
      </c>
      <c r="E535" s="24" t="s">
        <v>17</v>
      </c>
      <c r="F535" s="26"/>
      <c r="G535" s="26">
        <f>18452.6+0.1</f>
        <v>18452.699999999997</v>
      </c>
      <c r="H535" s="26">
        <f>38534.4+0.1</f>
        <v>38534.5</v>
      </c>
      <c r="I535" s="51"/>
      <c r="J535" s="51"/>
    </row>
    <row r="536" spans="1:10" ht="15.75" x14ac:dyDescent="0.25">
      <c r="A536" s="38" t="s">
        <v>1</v>
      </c>
      <c r="B536" s="36"/>
      <c r="C536" s="36"/>
      <c r="D536" s="36"/>
      <c r="E536" s="36"/>
      <c r="F536" s="37">
        <f>F528+F510+F346+F321+F223+F159+F109+F93+F9+F532</f>
        <v>2414660.7999999998</v>
      </c>
      <c r="G536" s="37">
        <f>G528+G510+G346+G321+G223+G159+G109+G93+G9+G532</f>
        <v>2160059.9000000004</v>
      </c>
      <c r="H536" s="37">
        <f>H528+H510+H346+H321+H223+H159+H109+H93+H9+H532</f>
        <v>2242476.0000000005</v>
      </c>
      <c r="I536" s="57"/>
    </row>
    <row r="537" spans="1:10" ht="16.5" thickBot="1" x14ac:dyDescent="0.25">
      <c r="A537" s="39" t="s">
        <v>2</v>
      </c>
      <c r="B537" s="40"/>
      <c r="C537" s="40"/>
      <c r="D537" s="40"/>
      <c r="E537" s="40"/>
      <c r="F537" s="44">
        <f>38545.7+0.1</f>
        <v>38545.799999999996</v>
      </c>
      <c r="G537" s="44">
        <f>40618.6+0.1-4061.9</f>
        <v>36556.799999999996</v>
      </c>
      <c r="H537" s="44">
        <f>42667+0.1-8533.4</f>
        <v>34133.699999999997</v>
      </c>
    </row>
    <row r="538" spans="1:10" x14ac:dyDescent="0.2">
      <c r="A538" s="31"/>
      <c r="B538" s="32"/>
      <c r="C538" s="32"/>
      <c r="D538" s="32"/>
      <c r="E538" s="32"/>
      <c r="F538" s="20">
        <f>[1]нов.!$G$570</f>
        <v>2414660.8000000003</v>
      </c>
      <c r="G538" s="60">
        <f>[1]нов.!$H$570</f>
        <v>2160059.9000000004</v>
      </c>
      <c r="H538" s="60">
        <f>[1]нов.!$I$570</f>
        <v>2242476</v>
      </c>
    </row>
    <row r="539" spans="1:10" x14ac:dyDescent="0.2">
      <c r="A539" s="31"/>
      <c r="B539" s="32"/>
      <c r="C539" s="32"/>
      <c r="D539" s="32"/>
      <c r="E539" s="32"/>
      <c r="F539" s="53">
        <f>F538-F536</f>
        <v>0</v>
      </c>
      <c r="G539" s="53">
        <f>G538-G536</f>
        <v>0</v>
      </c>
      <c r="H539" s="53">
        <f>H538-H536</f>
        <v>0</v>
      </c>
    </row>
    <row r="540" spans="1:10" ht="41.25" customHeight="1" x14ac:dyDescent="0.2">
      <c r="A540" s="41" t="s">
        <v>72</v>
      </c>
      <c r="F540" s="46"/>
      <c r="G540" s="53"/>
      <c r="H540" s="53" t="s">
        <v>87</v>
      </c>
    </row>
    <row r="545" spans="2:8" x14ac:dyDescent="0.2">
      <c r="F545" s="53"/>
      <c r="G545" s="53"/>
      <c r="H545" s="53"/>
    </row>
    <row r="546" spans="2:8" x14ac:dyDescent="0.2">
      <c r="F546" s="53"/>
      <c r="G546" s="53"/>
      <c r="H546" s="53"/>
    </row>
    <row r="547" spans="2:8" x14ac:dyDescent="0.2">
      <c r="F547" s="53"/>
      <c r="G547" s="53"/>
      <c r="H547" s="53"/>
    </row>
    <row r="549" spans="2:8" x14ac:dyDescent="0.2">
      <c r="F549" s="53"/>
      <c r="G549" s="53"/>
      <c r="H549" s="53"/>
    </row>
    <row r="554" spans="2:8" x14ac:dyDescent="0.2">
      <c r="B554" s="13"/>
      <c r="C554" s="13"/>
      <c r="D554" s="13"/>
      <c r="E554" s="13"/>
      <c r="F554" s="13"/>
      <c r="G554" s="13"/>
      <c r="H554" s="13"/>
    </row>
    <row r="555" spans="2:8" x14ac:dyDescent="0.2">
      <c r="B555" s="13"/>
      <c r="C555" s="13"/>
      <c r="D555" s="13"/>
      <c r="E555" s="13"/>
      <c r="F555" s="13"/>
      <c r="G555" s="13"/>
      <c r="H555" s="13"/>
    </row>
    <row r="556" spans="2:8" x14ac:dyDescent="0.2">
      <c r="B556" s="13"/>
      <c r="C556" s="13"/>
      <c r="D556" s="13"/>
      <c r="E556" s="13"/>
      <c r="F556" s="13"/>
      <c r="G556" s="13"/>
      <c r="H556" s="13"/>
    </row>
    <row r="557" spans="2:8" x14ac:dyDescent="0.2">
      <c r="B557" s="13"/>
      <c r="C557" s="13"/>
      <c r="D557" s="13"/>
      <c r="E557" s="13"/>
      <c r="F557" s="13"/>
      <c r="G557" s="13"/>
      <c r="H557" s="13"/>
    </row>
    <row r="558" spans="2:8" x14ac:dyDescent="0.2">
      <c r="B558" s="13"/>
      <c r="C558" s="13"/>
      <c r="D558" s="13"/>
      <c r="E558" s="13"/>
      <c r="F558" s="13"/>
      <c r="G558" s="13"/>
      <c r="H558" s="13"/>
    </row>
    <row r="559" spans="2:8" x14ac:dyDescent="0.2">
      <c r="B559" s="13"/>
      <c r="C559" s="13"/>
      <c r="D559" s="13"/>
      <c r="E559" s="13"/>
      <c r="F559" s="13"/>
      <c r="G559" s="13"/>
      <c r="H559" s="13"/>
    </row>
    <row r="560" spans="2:8" x14ac:dyDescent="0.2">
      <c r="B560" s="13"/>
      <c r="C560" s="13"/>
      <c r="D560" s="13"/>
      <c r="E560" s="13"/>
      <c r="F560" s="13"/>
      <c r="G560" s="13"/>
      <c r="H560" s="13"/>
    </row>
    <row r="561" spans="2:8" x14ac:dyDescent="0.2">
      <c r="B561" s="13"/>
      <c r="C561" s="13"/>
      <c r="D561" s="13"/>
      <c r="E561" s="13"/>
      <c r="F561" s="13"/>
      <c r="G561" s="13"/>
      <c r="H561" s="13"/>
    </row>
    <row r="562" spans="2:8" x14ac:dyDescent="0.2">
      <c r="B562" s="13"/>
      <c r="C562" s="13"/>
      <c r="D562" s="13"/>
      <c r="E562" s="13"/>
      <c r="F562" s="13"/>
      <c r="G562" s="13"/>
      <c r="H562" s="13"/>
    </row>
    <row r="563" spans="2:8" x14ac:dyDescent="0.2">
      <c r="B563" s="13"/>
      <c r="C563" s="13"/>
      <c r="D563" s="13"/>
      <c r="E563" s="13"/>
      <c r="F563" s="13"/>
      <c r="G563" s="13"/>
      <c r="H563" s="13"/>
    </row>
    <row r="564" spans="2:8" x14ac:dyDescent="0.2">
      <c r="B564" s="13"/>
      <c r="C564" s="13"/>
      <c r="D564" s="13"/>
      <c r="E564" s="13"/>
      <c r="F564" s="13"/>
      <c r="G564" s="13"/>
      <c r="H564" s="13"/>
    </row>
    <row r="565" spans="2:8" x14ac:dyDescent="0.2">
      <c r="B565" s="13"/>
      <c r="C565" s="13"/>
      <c r="D565" s="13"/>
      <c r="E565" s="13"/>
      <c r="F565" s="13"/>
      <c r="G565" s="13"/>
      <c r="H565" s="13"/>
    </row>
    <row r="566" spans="2:8" x14ac:dyDescent="0.2">
      <c r="B566" s="13"/>
      <c r="C566" s="13"/>
      <c r="D566" s="13"/>
      <c r="E566" s="13"/>
      <c r="F566" s="13"/>
      <c r="G566" s="13"/>
      <c r="H566" s="13"/>
    </row>
    <row r="567" spans="2:8" x14ac:dyDescent="0.2">
      <c r="B567" s="13"/>
      <c r="C567" s="13"/>
      <c r="D567" s="13"/>
      <c r="E567" s="13"/>
      <c r="F567" s="13"/>
      <c r="G567" s="13"/>
      <c r="H567" s="13"/>
    </row>
    <row r="568" spans="2:8" x14ac:dyDescent="0.2">
      <c r="B568" s="13"/>
      <c r="C568" s="13"/>
      <c r="D568" s="13"/>
      <c r="E568" s="13"/>
      <c r="F568" s="13"/>
      <c r="G568" s="13"/>
      <c r="H568" s="13"/>
    </row>
    <row r="569" spans="2:8" x14ac:dyDescent="0.2">
      <c r="B569" s="13"/>
      <c r="C569" s="13"/>
      <c r="D569" s="13"/>
      <c r="E569" s="13"/>
      <c r="F569" s="13"/>
      <c r="G569" s="13"/>
      <c r="H569" s="13"/>
    </row>
    <row r="570" spans="2:8" x14ac:dyDescent="0.2">
      <c r="B570" s="13"/>
      <c r="C570" s="13"/>
      <c r="D570" s="13"/>
      <c r="E570" s="13"/>
      <c r="F570" s="13"/>
      <c r="G570" s="13"/>
      <c r="H570" s="13"/>
    </row>
    <row r="571" spans="2:8" x14ac:dyDescent="0.2">
      <c r="B571" s="13"/>
      <c r="C571" s="13"/>
      <c r="D571" s="13"/>
      <c r="E571" s="13"/>
      <c r="F571" s="13"/>
      <c r="G571" s="13"/>
      <c r="H571" s="13"/>
    </row>
    <row r="572" spans="2:8" x14ac:dyDescent="0.2">
      <c r="B572" s="13"/>
      <c r="C572" s="13"/>
      <c r="D572" s="13"/>
      <c r="E572" s="13"/>
      <c r="F572" s="13"/>
      <c r="G572" s="13"/>
      <c r="H572" s="13"/>
    </row>
    <row r="573" spans="2:8" x14ac:dyDescent="0.2">
      <c r="B573" s="13"/>
      <c r="C573" s="13"/>
      <c r="D573" s="13"/>
      <c r="E573" s="13"/>
      <c r="F573" s="13"/>
      <c r="G573" s="13"/>
      <c r="H573" s="13"/>
    </row>
    <row r="574" spans="2:8" x14ac:dyDescent="0.2">
      <c r="B574" s="13"/>
      <c r="C574" s="13"/>
      <c r="D574" s="13"/>
      <c r="E574" s="13"/>
      <c r="F574" s="13"/>
      <c r="G574" s="13"/>
      <c r="H574" s="13"/>
    </row>
    <row r="575" spans="2:8" x14ac:dyDescent="0.2">
      <c r="B575" s="13"/>
      <c r="C575" s="13"/>
      <c r="D575" s="13"/>
      <c r="E575" s="13"/>
      <c r="F575" s="13"/>
      <c r="G575" s="13"/>
      <c r="H575" s="13"/>
    </row>
    <row r="576" spans="2:8" x14ac:dyDescent="0.2">
      <c r="B576" s="13"/>
      <c r="C576" s="13"/>
      <c r="D576" s="13"/>
      <c r="E576" s="13"/>
      <c r="F576" s="13"/>
      <c r="G576" s="13"/>
      <c r="H576" s="13"/>
    </row>
    <row r="577" spans="2:8" x14ac:dyDescent="0.2">
      <c r="B577" s="13"/>
      <c r="C577" s="13"/>
      <c r="D577" s="13"/>
      <c r="E577" s="13"/>
      <c r="F577" s="13"/>
      <c r="G577" s="13"/>
      <c r="H577" s="13"/>
    </row>
    <row r="578" spans="2:8" x14ac:dyDescent="0.2">
      <c r="B578" s="13"/>
      <c r="C578" s="13"/>
      <c r="D578" s="13"/>
      <c r="E578" s="13"/>
      <c r="F578" s="13"/>
      <c r="G578" s="13"/>
      <c r="H578" s="13"/>
    </row>
    <row r="579" spans="2:8" x14ac:dyDescent="0.2">
      <c r="B579" s="13"/>
      <c r="C579" s="13"/>
      <c r="D579" s="13"/>
      <c r="E579" s="13"/>
      <c r="F579" s="13"/>
      <c r="G579" s="13"/>
      <c r="H579" s="13"/>
    </row>
    <row r="580" spans="2:8" x14ac:dyDescent="0.2">
      <c r="B580" s="13"/>
      <c r="C580" s="13"/>
      <c r="D580" s="13"/>
      <c r="E580" s="13"/>
      <c r="F580" s="13"/>
      <c r="G580" s="13"/>
      <c r="H580" s="13"/>
    </row>
    <row r="581" spans="2:8" x14ac:dyDescent="0.2">
      <c r="B581" s="13"/>
      <c r="C581" s="13"/>
      <c r="D581" s="13"/>
      <c r="E581" s="13"/>
      <c r="F581" s="13"/>
      <c r="G581" s="13"/>
      <c r="H581" s="13"/>
    </row>
    <row r="582" spans="2:8" x14ac:dyDescent="0.2">
      <c r="B582" s="13"/>
      <c r="C582" s="13"/>
      <c r="D582" s="13"/>
      <c r="E582" s="13"/>
      <c r="F582" s="13"/>
      <c r="G582" s="13"/>
      <c r="H582" s="13"/>
    </row>
    <row r="583" spans="2:8" x14ac:dyDescent="0.2">
      <c r="B583" s="13"/>
      <c r="C583" s="13"/>
      <c r="D583" s="13"/>
      <c r="E583" s="13"/>
      <c r="F583" s="13"/>
      <c r="G583" s="13"/>
      <c r="H583" s="13"/>
    </row>
    <row r="584" spans="2:8" x14ac:dyDescent="0.2">
      <c r="B584" s="13"/>
      <c r="C584" s="13"/>
      <c r="D584" s="13"/>
      <c r="E584" s="13"/>
      <c r="F584" s="13"/>
      <c r="G584" s="13"/>
      <c r="H584" s="13"/>
    </row>
    <row r="585" spans="2:8" x14ac:dyDescent="0.2">
      <c r="B585" s="13"/>
      <c r="C585" s="13"/>
      <c r="D585" s="13"/>
      <c r="E585" s="13"/>
      <c r="F585" s="13"/>
      <c r="G585" s="13"/>
      <c r="H585" s="13"/>
    </row>
    <row r="586" spans="2:8" x14ac:dyDescent="0.2">
      <c r="B586" s="13"/>
      <c r="C586" s="13"/>
      <c r="D586" s="13"/>
      <c r="E586" s="13"/>
      <c r="F586" s="13"/>
      <c r="G586" s="13"/>
      <c r="H586" s="13"/>
    </row>
    <row r="587" spans="2:8" x14ac:dyDescent="0.2">
      <c r="B587" s="13"/>
      <c r="C587" s="13"/>
      <c r="D587" s="13"/>
      <c r="E587" s="13"/>
      <c r="F587" s="13"/>
      <c r="G587" s="13"/>
      <c r="H587" s="13"/>
    </row>
    <row r="588" spans="2:8" x14ac:dyDescent="0.2">
      <c r="B588" s="13"/>
      <c r="C588" s="13"/>
      <c r="D588" s="13"/>
      <c r="E588" s="13"/>
      <c r="F588" s="13"/>
      <c r="G588" s="13"/>
      <c r="H588" s="13"/>
    </row>
    <row r="589" spans="2:8" x14ac:dyDescent="0.2">
      <c r="B589" s="13"/>
      <c r="C589" s="13"/>
      <c r="D589" s="13"/>
      <c r="E589" s="13"/>
      <c r="F589" s="13"/>
      <c r="G589" s="13"/>
      <c r="H589" s="13"/>
    </row>
    <row r="590" spans="2:8" x14ac:dyDescent="0.2">
      <c r="B590" s="13"/>
      <c r="C590" s="13"/>
      <c r="D590" s="13"/>
      <c r="E590" s="13"/>
      <c r="F590" s="13"/>
      <c r="G590" s="13"/>
      <c r="H590" s="13"/>
    </row>
    <row r="591" spans="2:8" x14ac:dyDescent="0.2">
      <c r="B591" s="13"/>
      <c r="C591" s="13"/>
      <c r="D591" s="13"/>
      <c r="E591" s="13"/>
      <c r="F591" s="13"/>
      <c r="G591" s="13"/>
      <c r="H591" s="13"/>
    </row>
    <row r="592" spans="2:8" x14ac:dyDescent="0.2">
      <c r="B592" s="13"/>
      <c r="C592" s="13"/>
      <c r="D592" s="13"/>
      <c r="E592" s="13"/>
      <c r="F592" s="13"/>
      <c r="G592" s="13"/>
      <c r="H592" s="13"/>
    </row>
    <row r="593" spans="2:8" x14ac:dyDescent="0.2">
      <c r="B593" s="13"/>
      <c r="C593" s="13"/>
      <c r="D593" s="13"/>
      <c r="E593" s="13"/>
      <c r="F593" s="13"/>
      <c r="G593" s="13"/>
      <c r="H593" s="13"/>
    </row>
    <row r="594" spans="2:8" x14ac:dyDescent="0.2">
      <c r="B594" s="13"/>
      <c r="C594" s="13"/>
      <c r="D594" s="13"/>
      <c r="E594" s="13"/>
      <c r="F594" s="13"/>
      <c r="G594" s="13"/>
      <c r="H594" s="13"/>
    </row>
    <row r="595" spans="2:8" x14ac:dyDescent="0.2">
      <c r="B595" s="13"/>
      <c r="C595" s="13"/>
      <c r="D595" s="13"/>
      <c r="E595" s="13"/>
      <c r="F595" s="13"/>
      <c r="G595" s="13"/>
      <c r="H595" s="13"/>
    </row>
    <row r="596" spans="2:8" x14ac:dyDescent="0.2">
      <c r="B596" s="13"/>
      <c r="C596" s="13"/>
      <c r="D596" s="13"/>
      <c r="E596" s="13"/>
      <c r="F596" s="13"/>
      <c r="G596" s="13"/>
      <c r="H596" s="13"/>
    </row>
    <row r="597" spans="2:8" x14ac:dyDescent="0.2">
      <c r="B597" s="13"/>
      <c r="C597" s="13"/>
      <c r="D597" s="13"/>
      <c r="E597" s="13"/>
      <c r="F597" s="13"/>
      <c r="G597" s="13"/>
      <c r="H597" s="13"/>
    </row>
    <row r="598" spans="2:8" x14ac:dyDescent="0.2">
      <c r="B598" s="13"/>
      <c r="C598" s="13"/>
      <c r="D598" s="13"/>
      <c r="E598" s="13"/>
      <c r="F598" s="13"/>
      <c r="G598" s="13"/>
      <c r="H598" s="13"/>
    </row>
    <row r="599" spans="2:8" x14ac:dyDescent="0.2">
      <c r="B599" s="13"/>
      <c r="C599" s="13"/>
      <c r="D599" s="13"/>
      <c r="E599" s="13"/>
      <c r="F599" s="13"/>
      <c r="G599" s="13"/>
      <c r="H599" s="13"/>
    </row>
    <row r="600" spans="2:8" x14ac:dyDescent="0.2">
      <c r="B600" s="13"/>
      <c r="C600" s="13"/>
      <c r="D600" s="13"/>
      <c r="E600" s="13"/>
      <c r="F600" s="13"/>
      <c r="G600" s="13"/>
      <c r="H600" s="13"/>
    </row>
    <row r="601" spans="2:8" x14ac:dyDescent="0.2">
      <c r="B601" s="13"/>
      <c r="C601" s="13"/>
      <c r="D601" s="13"/>
      <c r="E601" s="13"/>
      <c r="F601" s="13"/>
      <c r="G601" s="13"/>
      <c r="H601" s="13"/>
    </row>
    <row r="602" spans="2:8" x14ac:dyDescent="0.2">
      <c r="B602" s="13"/>
      <c r="C602" s="13"/>
      <c r="D602" s="13"/>
      <c r="E602" s="13"/>
      <c r="F602" s="13"/>
      <c r="G602" s="13"/>
      <c r="H602" s="13"/>
    </row>
    <row r="603" spans="2:8" x14ac:dyDescent="0.2">
      <c r="B603" s="13"/>
      <c r="C603" s="13"/>
      <c r="D603" s="13"/>
      <c r="E603" s="13"/>
      <c r="F603" s="13"/>
      <c r="G603" s="13"/>
      <c r="H603" s="13"/>
    </row>
    <row r="604" spans="2:8" x14ac:dyDescent="0.2">
      <c r="B604" s="13"/>
      <c r="C604" s="13"/>
      <c r="D604" s="13"/>
      <c r="E604" s="13"/>
      <c r="F604" s="13"/>
      <c r="G604" s="13"/>
      <c r="H604" s="13"/>
    </row>
    <row r="605" spans="2:8" x14ac:dyDescent="0.2">
      <c r="B605" s="13"/>
      <c r="C605" s="13"/>
      <c r="D605" s="13"/>
      <c r="E605" s="13"/>
      <c r="F605" s="13"/>
      <c r="G605" s="13"/>
      <c r="H605" s="13"/>
    </row>
    <row r="606" spans="2:8" x14ac:dyDescent="0.2">
      <c r="B606" s="13"/>
      <c r="C606" s="13"/>
      <c r="D606" s="13"/>
      <c r="E606" s="13"/>
      <c r="F606" s="13"/>
      <c r="G606" s="13"/>
      <c r="H606" s="13"/>
    </row>
    <row r="607" spans="2:8" x14ac:dyDescent="0.2">
      <c r="B607" s="13"/>
      <c r="C607" s="13"/>
      <c r="D607" s="13"/>
      <c r="E607" s="13"/>
      <c r="F607" s="13"/>
      <c r="G607" s="13"/>
      <c r="H607" s="13"/>
    </row>
    <row r="608" spans="2:8" x14ac:dyDescent="0.2">
      <c r="B608" s="13"/>
      <c r="C608" s="13"/>
      <c r="D608" s="13"/>
      <c r="E608" s="13"/>
      <c r="F608" s="13"/>
      <c r="G608" s="13"/>
      <c r="H608" s="13"/>
    </row>
    <row r="609" spans="2:8" x14ac:dyDescent="0.2">
      <c r="B609" s="13"/>
      <c r="C609" s="13"/>
      <c r="D609" s="13"/>
      <c r="E609" s="13"/>
      <c r="F609" s="13"/>
      <c r="G609" s="13"/>
      <c r="H609" s="13"/>
    </row>
    <row r="610" spans="2:8" x14ac:dyDescent="0.2">
      <c r="B610" s="13"/>
      <c r="C610" s="13"/>
      <c r="D610" s="13"/>
      <c r="E610" s="13"/>
      <c r="F610" s="13"/>
      <c r="G610" s="13"/>
      <c r="H610" s="13"/>
    </row>
    <row r="611" spans="2:8" x14ac:dyDescent="0.2">
      <c r="B611" s="13"/>
      <c r="C611" s="13"/>
      <c r="D611" s="13"/>
      <c r="E611" s="13"/>
      <c r="F611" s="13"/>
      <c r="G611" s="13"/>
      <c r="H611" s="13"/>
    </row>
    <row r="612" spans="2:8" x14ac:dyDescent="0.2">
      <c r="B612" s="13"/>
      <c r="C612" s="13"/>
      <c r="D612" s="13"/>
      <c r="E612" s="13"/>
      <c r="F612" s="13"/>
      <c r="G612" s="13"/>
      <c r="H612" s="13"/>
    </row>
    <row r="613" spans="2:8" x14ac:dyDescent="0.2">
      <c r="B613" s="13"/>
      <c r="C613" s="13"/>
      <c r="D613" s="13"/>
      <c r="E613" s="13"/>
      <c r="F613" s="13"/>
      <c r="G613" s="13"/>
      <c r="H613" s="13"/>
    </row>
    <row r="614" spans="2:8" x14ac:dyDescent="0.2">
      <c r="B614" s="13"/>
      <c r="C614" s="13"/>
      <c r="D614" s="13"/>
      <c r="E614" s="13"/>
      <c r="F614" s="13"/>
      <c r="G614" s="13"/>
      <c r="H614" s="13"/>
    </row>
    <row r="615" spans="2:8" x14ac:dyDescent="0.2">
      <c r="B615" s="13"/>
      <c r="C615" s="13"/>
      <c r="D615" s="13"/>
      <c r="E615" s="13"/>
      <c r="F615" s="13"/>
      <c r="G615" s="13"/>
      <c r="H615" s="13"/>
    </row>
    <row r="616" spans="2:8" x14ac:dyDescent="0.2">
      <c r="B616" s="13"/>
      <c r="C616" s="13"/>
      <c r="D616" s="13"/>
      <c r="E616" s="13"/>
      <c r="F616" s="13"/>
      <c r="G616" s="13"/>
      <c r="H616" s="13"/>
    </row>
    <row r="617" spans="2:8" x14ac:dyDescent="0.2">
      <c r="B617" s="13"/>
      <c r="C617" s="13"/>
      <c r="D617" s="13"/>
      <c r="E617" s="13"/>
      <c r="F617" s="13"/>
      <c r="G617" s="13"/>
      <c r="H617" s="13"/>
    </row>
    <row r="618" spans="2:8" x14ac:dyDescent="0.2">
      <c r="B618" s="13"/>
      <c r="C618" s="13"/>
      <c r="D618" s="13"/>
      <c r="E618" s="13"/>
      <c r="F618" s="13"/>
      <c r="G618" s="13"/>
      <c r="H618" s="13"/>
    </row>
    <row r="619" spans="2:8" x14ac:dyDescent="0.2">
      <c r="B619" s="13"/>
      <c r="C619" s="13"/>
      <c r="D619" s="13"/>
      <c r="E619" s="13"/>
      <c r="F619" s="13"/>
      <c r="G619" s="13"/>
      <c r="H619" s="13"/>
    </row>
    <row r="620" spans="2:8" x14ac:dyDescent="0.2">
      <c r="B620" s="13"/>
      <c r="C620" s="13"/>
      <c r="D620" s="13"/>
      <c r="E620" s="13"/>
      <c r="F620" s="13"/>
      <c r="G620" s="13"/>
      <c r="H620" s="13"/>
    </row>
    <row r="621" spans="2:8" x14ac:dyDescent="0.2">
      <c r="B621" s="13"/>
      <c r="C621" s="13"/>
      <c r="D621" s="13"/>
      <c r="E621" s="13"/>
      <c r="F621" s="13"/>
      <c r="G621" s="13"/>
      <c r="H621" s="13"/>
    </row>
    <row r="622" spans="2:8" x14ac:dyDescent="0.2">
      <c r="B622" s="13"/>
      <c r="C622" s="13"/>
      <c r="D622" s="13"/>
      <c r="E622" s="13"/>
      <c r="F622" s="13"/>
      <c r="G622" s="13"/>
      <c r="H622" s="13"/>
    </row>
    <row r="623" spans="2:8" x14ac:dyDescent="0.2">
      <c r="B623" s="13"/>
      <c r="C623" s="13"/>
      <c r="D623" s="13"/>
      <c r="E623" s="13"/>
      <c r="F623" s="13"/>
      <c r="G623" s="13"/>
      <c r="H623" s="13"/>
    </row>
    <row r="624" spans="2:8" x14ac:dyDescent="0.2">
      <c r="B624" s="13"/>
      <c r="C624" s="13"/>
      <c r="D624" s="13"/>
      <c r="E624" s="13"/>
      <c r="F624" s="13"/>
      <c r="G624" s="13"/>
      <c r="H624" s="13"/>
    </row>
    <row r="625" spans="2:8" x14ac:dyDescent="0.2">
      <c r="B625" s="13"/>
      <c r="C625" s="13"/>
      <c r="D625" s="13"/>
      <c r="E625" s="13"/>
      <c r="F625" s="13"/>
      <c r="G625" s="13"/>
      <c r="H625" s="13"/>
    </row>
    <row r="626" spans="2:8" x14ac:dyDescent="0.2">
      <c r="B626" s="13"/>
      <c r="C626" s="13"/>
      <c r="D626" s="13"/>
      <c r="E626" s="13"/>
      <c r="F626" s="13"/>
      <c r="G626" s="13"/>
      <c r="H626" s="13"/>
    </row>
    <row r="627" spans="2:8" x14ac:dyDescent="0.2">
      <c r="B627" s="13"/>
      <c r="C627" s="13"/>
      <c r="D627" s="13"/>
      <c r="E627" s="13"/>
      <c r="F627" s="13"/>
      <c r="G627" s="13"/>
      <c r="H627" s="13"/>
    </row>
    <row r="628" spans="2:8" x14ac:dyDescent="0.2">
      <c r="B628" s="13"/>
      <c r="C628" s="13"/>
      <c r="D628" s="13"/>
      <c r="E628" s="13"/>
      <c r="F628" s="13"/>
      <c r="G628" s="13"/>
      <c r="H628" s="13"/>
    </row>
    <row r="629" spans="2:8" x14ac:dyDescent="0.2">
      <c r="B629" s="13"/>
      <c r="C629" s="13"/>
      <c r="D629" s="13"/>
      <c r="E629" s="13"/>
      <c r="F629" s="13"/>
      <c r="G629" s="13"/>
      <c r="H629" s="13"/>
    </row>
    <row r="630" spans="2:8" x14ac:dyDescent="0.2">
      <c r="B630" s="13"/>
      <c r="C630" s="13"/>
      <c r="D630" s="13"/>
      <c r="E630" s="13"/>
      <c r="F630" s="13"/>
      <c r="G630" s="13"/>
      <c r="H630" s="13"/>
    </row>
    <row r="631" spans="2:8" x14ac:dyDescent="0.2">
      <c r="B631" s="13"/>
      <c r="C631" s="13"/>
      <c r="D631" s="13"/>
      <c r="E631" s="13"/>
      <c r="F631" s="13"/>
      <c r="G631" s="13"/>
      <c r="H631" s="13"/>
    </row>
    <row r="632" spans="2:8" x14ac:dyDescent="0.2">
      <c r="B632" s="13"/>
      <c r="C632" s="13"/>
      <c r="D632" s="13"/>
      <c r="E632" s="13"/>
      <c r="F632" s="13"/>
      <c r="G632" s="13"/>
      <c r="H632" s="13"/>
    </row>
    <row r="633" spans="2:8" x14ac:dyDescent="0.2">
      <c r="B633" s="13"/>
      <c r="C633" s="13"/>
      <c r="D633" s="13"/>
      <c r="E633" s="13"/>
      <c r="F633" s="13"/>
      <c r="G633" s="13"/>
      <c r="H633" s="13"/>
    </row>
    <row r="634" spans="2:8" x14ac:dyDescent="0.2">
      <c r="B634" s="13"/>
      <c r="C634" s="13"/>
      <c r="D634" s="13"/>
      <c r="E634" s="13"/>
      <c r="F634" s="13"/>
      <c r="G634" s="13"/>
      <c r="H634" s="13"/>
    </row>
    <row r="635" spans="2:8" x14ac:dyDescent="0.2">
      <c r="B635" s="13"/>
      <c r="C635" s="13"/>
      <c r="D635" s="13"/>
      <c r="E635" s="13"/>
      <c r="F635" s="13"/>
      <c r="G635" s="13"/>
      <c r="H635" s="13"/>
    </row>
    <row r="636" spans="2:8" x14ac:dyDescent="0.2">
      <c r="B636" s="13"/>
      <c r="C636" s="13"/>
      <c r="D636" s="13"/>
      <c r="E636" s="13"/>
      <c r="F636" s="13"/>
      <c r="G636" s="13"/>
      <c r="H636" s="13"/>
    </row>
    <row r="637" spans="2:8" x14ac:dyDescent="0.2">
      <c r="B637" s="13"/>
      <c r="C637" s="13"/>
      <c r="D637" s="13"/>
      <c r="E637" s="13"/>
      <c r="F637" s="13"/>
      <c r="G637" s="13"/>
      <c r="H637" s="13"/>
    </row>
    <row r="638" spans="2:8" x14ac:dyDescent="0.2">
      <c r="B638" s="13"/>
      <c r="C638" s="13"/>
      <c r="D638" s="13"/>
      <c r="E638" s="13"/>
      <c r="F638" s="13"/>
      <c r="G638" s="13"/>
      <c r="H638" s="13"/>
    </row>
    <row r="639" spans="2:8" x14ac:dyDescent="0.2">
      <c r="B639" s="13"/>
      <c r="C639" s="13"/>
      <c r="D639" s="13"/>
      <c r="E639" s="13"/>
      <c r="F639" s="13"/>
      <c r="G639" s="13"/>
      <c r="H639" s="13"/>
    </row>
    <row r="640" spans="2:8" x14ac:dyDescent="0.2">
      <c r="B640" s="13"/>
      <c r="C640" s="13"/>
      <c r="D640" s="13"/>
      <c r="E640" s="13"/>
      <c r="F640" s="13"/>
      <c r="G640" s="13"/>
      <c r="H640" s="13"/>
    </row>
    <row r="641" spans="2:8" x14ac:dyDescent="0.2">
      <c r="B641" s="13"/>
      <c r="C641" s="13"/>
      <c r="D641" s="13"/>
      <c r="E641" s="13"/>
      <c r="F641" s="13"/>
      <c r="G641" s="13"/>
      <c r="H641" s="13"/>
    </row>
    <row r="642" spans="2:8" x14ac:dyDescent="0.2">
      <c r="B642" s="13"/>
      <c r="C642" s="13"/>
      <c r="D642" s="13"/>
      <c r="E642" s="13"/>
      <c r="F642" s="13"/>
      <c r="G642" s="13"/>
      <c r="H642" s="13"/>
    </row>
    <row r="643" spans="2:8" x14ac:dyDescent="0.2">
      <c r="B643" s="13"/>
      <c r="C643" s="13"/>
      <c r="D643" s="13"/>
      <c r="E643" s="13"/>
      <c r="F643" s="13"/>
      <c r="G643" s="13"/>
      <c r="H643" s="13"/>
    </row>
    <row r="644" spans="2:8" x14ac:dyDescent="0.2">
      <c r="B644" s="13"/>
      <c r="C644" s="13"/>
      <c r="D644" s="13"/>
      <c r="E644" s="13"/>
      <c r="F644" s="13"/>
      <c r="G644" s="13"/>
      <c r="H644" s="13"/>
    </row>
    <row r="645" spans="2:8" x14ac:dyDescent="0.2">
      <c r="B645" s="13"/>
      <c r="C645" s="13"/>
      <c r="D645" s="13"/>
      <c r="E645" s="13"/>
      <c r="F645" s="13"/>
      <c r="G645" s="13"/>
      <c r="H645" s="13"/>
    </row>
    <row r="646" spans="2:8" x14ac:dyDescent="0.2">
      <c r="B646" s="13"/>
      <c r="C646" s="13"/>
      <c r="D646" s="13"/>
      <c r="E646" s="13"/>
      <c r="F646" s="13"/>
      <c r="G646" s="13"/>
      <c r="H646" s="13"/>
    </row>
    <row r="647" spans="2:8" x14ac:dyDescent="0.2">
      <c r="B647" s="13"/>
      <c r="C647" s="13"/>
      <c r="D647" s="13"/>
      <c r="E647" s="13"/>
      <c r="F647" s="13"/>
      <c r="G647" s="13"/>
      <c r="H647" s="13"/>
    </row>
    <row r="648" spans="2:8" x14ac:dyDescent="0.2">
      <c r="B648" s="13"/>
      <c r="C648" s="13"/>
      <c r="D648" s="13"/>
      <c r="E648" s="13"/>
      <c r="F648" s="13"/>
      <c r="G648" s="13"/>
      <c r="H648" s="13"/>
    </row>
    <row r="649" spans="2:8" x14ac:dyDescent="0.2">
      <c r="B649" s="13"/>
      <c r="C649" s="13"/>
      <c r="D649" s="13"/>
      <c r="E649" s="13"/>
      <c r="F649" s="13"/>
      <c r="G649" s="13"/>
      <c r="H649" s="13"/>
    </row>
    <row r="650" spans="2:8" x14ac:dyDescent="0.2">
      <c r="B650" s="13"/>
      <c r="C650" s="13"/>
      <c r="D650" s="13"/>
      <c r="E650" s="13"/>
      <c r="F650" s="13"/>
      <c r="G650" s="13"/>
      <c r="H650" s="13"/>
    </row>
    <row r="651" spans="2:8" x14ac:dyDescent="0.2">
      <c r="B651" s="13"/>
      <c r="C651" s="13"/>
      <c r="D651" s="13"/>
      <c r="E651" s="13"/>
      <c r="F651" s="13"/>
      <c r="G651" s="13"/>
      <c r="H651" s="13"/>
    </row>
    <row r="652" spans="2:8" x14ac:dyDescent="0.2">
      <c r="B652" s="13"/>
      <c r="C652" s="13"/>
      <c r="D652" s="13"/>
      <c r="E652" s="13"/>
      <c r="F652" s="13"/>
      <c r="G652" s="13"/>
      <c r="H652" s="13"/>
    </row>
    <row r="653" spans="2:8" x14ac:dyDescent="0.2">
      <c r="B653" s="13"/>
      <c r="C653" s="13"/>
      <c r="D653" s="13"/>
      <c r="E653" s="13"/>
      <c r="F653" s="13"/>
      <c r="G653" s="13"/>
      <c r="H653" s="13"/>
    </row>
    <row r="654" spans="2:8" x14ac:dyDescent="0.2">
      <c r="B654" s="13"/>
      <c r="C654" s="13"/>
      <c r="D654" s="13"/>
      <c r="E654" s="13"/>
      <c r="F654" s="13"/>
      <c r="G654" s="13"/>
      <c r="H654" s="13"/>
    </row>
    <row r="655" spans="2:8" x14ac:dyDescent="0.2">
      <c r="B655" s="13"/>
      <c r="C655" s="13"/>
      <c r="D655" s="13"/>
      <c r="E655" s="13"/>
      <c r="F655" s="13"/>
      <c r="G655" s="13"/>
      <c r="H655" s="13"/>
    </row>
    <row r="656" spans="2:8" x14ac:dyDescent="0.2">
      <c r="B656" s="13"/>
      <c r="C656" s="13"/>
      <c r="D656" s="13"/>
      <c r="E656" s="13"/>
      <c r="F656" s="13"/>
      <c r="G656" s="13"/>
      <c r="H656" s="13"/>
    </row>
    <row r="657" spans="2:8" x14ac:dyDescent="0.2">
      <c r="B657" s="13"/>
      <c r="C657" s="13"/>
      <c r="D657" s="13"/>
      <c r="E657" s="13"/>
      <c r="F657" s="13"/>
      <c r="G657" s="13"/>
      <c r="H657" s="13"/>
    </row>
    <row r="658" spans="2:8" x14ac:dyDescent="0.2">
      <c r="B658" s="13"/>
      <c r="C658" s="13"/>
      <c r="D658" s="13"/>
      <c r="E658" s="13"/>
      <c r="F658" s="13"/>
      <c r="G658" s="13"/>
      <c r="H658" s="13"/>
    </row>
  </sheetData>
  <autoFilter ref="A8:O540"/>
  <mergeCells count="3">
    <mergeCell ref="A7:F7"/>
    <mergeCell ref="A6:F6"/>
    <mergeCell ref="A5:H5"/>
  </mergeCells>
  <pageMargins left="0.70866141732283472" right="0.43307086614173229" top="0.51181102362204722" bottom="0.39370078740157483" header="0.31496062992125984" footer="0.15748031496062992"/>
  <pageSetup paperSize="9" scale="65" fitToHeight="5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B7" zoomScaleNormal="100" workbookViewId="0">
      <selection activeCell="A7" sqref="A1:A1048576"/>
    </sheetView>
  </sheetViews>
  <sheetFormatPr defaultRowHeight="12.75" x14ac:dyDescent="0.2"/>
  <cols>
    <col min="1" max="1" width="23.85546875" style="70" hidden="1" customWidth="1"/>
    <col min="2" max="3" width="9.140625" style="58"/>
    <col min="4" max="4" width="16.140625" style="58" customWidth="1"/>
    <col min="5" max="5" width="9.140625" style="58"/>
    <col min="6" max="6" width="11.85546875" style="58" customWidth="1"/>
    <col min="7" max="8" width="11.85546875" style="63" customWidth="1"/>
    <col min="9" max="9" width="2.85546875" style="13" customWidth="1"/>
    <col min="10" max="16384" width="9.140625" style="13"/>
  </cols>
  <sheetData>
    <row r="1" spans="1:10" ht="27.75" customHeight="1" x14ac:dyDescent="0.2">
      <c r="A1" s="73" t="s">
        <v>79</v>
      </c>
      <c r="B1" s="73"/>
      <c r="C1" s="73"/>
      <c r="D1" s="73"/>
      <c r="E1" s="73"/>
      <c r="F1" s="73"/>
    </row>
    <row r="2" spans="1:10" ht="22.5" customHeight="1" x14ac:dyDescent="0.2">
      <c r="A2" s="68"/>
      <c r="B2" s="52"/>
      <c r="C2" s="52"/>
      <c r="D2" s="52"/>
      <c r="E2" s="52"/>
      <c r="F2" s="52">
        <v>2017</v>
      </c>
      <c r="G2" s="52">
        <v>2018</v>
      </c>
      <c r="H2" s="52">
        <v>2019</v>
      </c>
    </row>
    <row r="3" spans="1:10" ht="16.5" customHeight="1" x14ac:dyDescent="0.2">
      <c r="A3" s="69" t="s">
        <v>13</v>
      </c>
      <c r="B3" s="24" t="s">
        <v>58</v>
      </c>
      <c r="C3" s="24" t="s">
        <v>30</v>
      </c>
      <c r="D3" s="24" t="s">
        <v>135</v>
      </c>
      <c r="E3" s="24" t="s">
        <v>76</v>
      </c>
      <c r="F3" s="26">
        <f>1000</f>
        <v>1000</v>
      </c>
      <c r="G3" s="26">
        <f>1000</f>
        <v>1000</v>
      </c>
      <c r="H3" s="26">
        <f>1000</f>
        <v>1000</v>
      </c>
    </row>
    <row r="4" spans="1:10" ht="16.5" customHeight="1" x14ac:dyDescent="0.2">
      <c r="A4" s="69" t="s">
        <v>13</v>
      </c>
      <c r="B4" s="24" t="s">
        <v>58</v>
      </c>
      <c r="C4" s="24" t="s">
        <v>32</v>
      </c>
      <c r="D4" s="24" t="s">
        <v>137</v>
      </c>
      <c r="E4" s="24" t="s">
        <v>76</v>
      </c>
      <c r="F4" s="26">
        <v>29732</v>
      </c>
      <c r="G4" s="26">
        <v>29732</v>
      </c>
      <c r="H4" s="26">
        <v>29732</v>
      </c>
      <c r="I4" s="51"/>
      <c r="J4" s="51"/>
    </row>
    <row r="5" spans="1:10" ht="16.5" customHeight="1" x14ac:dyDescent="0.2">
      <c r="A5" s="69" t="s">
        <v>13</v>
      </c>
      <c r="B5" s="24" t="s">
        <v>58</v>
      </c>
      <c r="C5" s="24" t="s">
        <v>32</v>
      </c>
      <c r="D5" s="24" t="s">
        <v>138</v>
      </c>
      <c r="E5" s="24" t="s">
        <v>76</v>
      </c>
      <c r="F5" s="26">
        <f>1791.1</f>
        <v>1791.1</v>
      </c>
      <c r="G5" s="26">
        <f>1791.1</f>
        <v>1791.1</v>
      </c>
      <c r="H5" s="26">
        <f>1791.1</f>
        <v>1791.1</v>
      </c>
    </row>
    <row r="6" spans="1:10" ht="16.5" customHeight="1" x14ac:dyDescent="0.2">
      <c r="A6" s="69" t="s">
        <v>13</v>
      </c>
      <c r="B6" s="24" t="s">
        <v>58</v>
      </c>
      <c r="C6" s="24" t="s">
        <v>32</v>
      </c>
      <c r="D6" s="24" t="s">
        <v>107</v>
      </c>
      <c r="E6" s="24" t="s">
        <v>76</v>
      </c>
      <c r="F6" s="26">
        <v>736</v>
      </c>
      <c r="G6" s="26">
        <v>770</v>
      </c>
      <c r="H6" s="26">
        <v>801</v>
      </c>
    </row>
    <row r="7" spans="1:10" ht="16.5" customHeight="1" x14ac:dyDescent="0.2">
      <c r="A7" s="69" t="s">
        <v>13</v>
      </c>
      <c r="B7" s="24" t="s">
        <v>58</v>
      </c>
      <c r="C7" s="24" t="s">
        <v>30</v>
      </c>
      <c r="D7" s="24" t="s">
        <v>108</v>
      </c>
      <c r="E7" s="24" t="s">
        <v>76</v>
      </c>
      <c r="F7" s="26">
        <v>7547.8</v>
      </c>
      <c r="G7" s="26">
        <v>7547.8</v>
      </c>
      <c r="H7" s="26">
        <v>7547.8</v>
      </c>
      <c r="I7" s="51"/>
      <c r="J7" s="51"/>
    </row>
    <row r="8" spans="1:10" ht="16.5" customHeight="1" x14ac:dyDescent="0.2">
      <c r="A8" s="69" t="s">
        <v>13</v>
      </c>
      <c r="B8" s="24" t="s">
        <v>58</v>
      </c>
      <c r="C8" s="24" t="s">
        <v>30</v>
      </c>
      <c r="D8" s="24" t="s">
        <v>109</v>
      </c>
      <c r="E8" s="24" t="s">
        <v>76</v>
      </c>
      <c r="F8" s="26">
        <f>11.4</f>
        <v>11.4</v>
      </c>
      <c r="G8" s="26">
        <f>12.9</f>
        <v>12.9</v>
      </c>
      <c r="H8" s="26">
        <f>14.9</f>
        <v>14.9</v>
      </c>
    </row>
    <row r="9" spans="1:10" ht="16.5" customHeight="1" x14ac:dyDescent="0.2">
      <c r="A9" s="69" t="s">
        <v>13</v>
      </c>
      <c r="B9" s="24" t="s">
        <v>58</v>
      </c>
      <c r="C9" s="24" t="s">
        <v>30</v>
      </c>
      <c r="D9" s="24" t="s">
        <v>110</v>
      </c>
      <c r="E9" s="24" t="s">
        <v>76</v>
      </c>
      <c r="F9" s="26">
        <f>56059</f>
        <v>56059</v>
      </c>
      <c r="G9" s="26">
        <f>56046</f>
        <v>56046</v>
      </c>
      <c r="H9" s="26">
        <f>56040</f>
        <v>56040</v>
      </c>
    </row>
    <row r="10" spans="1:10" ht="16.5" customHeight="1" x14ac:dyDescent="0.2">
      <c r="A10" s="69" t="s">
        <v>13</v>
      </c>
      <c r="B10" s="24" t="s">
        <v>58</v>
      </c>
      <c r="C10" s="24" t="s">
        <v>32</v>
      </c>
      <c r="D10" s="8" t="s">
        <v>111</v>
      </c>
      <c r="E10" s="24" t="s">
        <v>76</v>
      </c>
      <c r="F10" s="26">
        <f>54332</f>
        <v>54332</v>
      </c>
      <c r="G10" s="26">
        <f>54587</f>
        <v>54587</v>
      </c>
      <c r="H10" s="26">
        <f>54437</f>
        <v>54437</v>
      </c>
    </row>
    <row r="11" spans="1:10" ht="16.5" customHeight="1" x14ac:dyDescent="0.2">
      <c r="A11" s="69" t="s">
        <v>13</v>
      </c>
      <c r="B11" s="24" t="s">
        <v>58</v>
      </c>
      <c r="C11" s="24" t="s">
        <v>30</v>
      </c>
      <c r="D11" s="24" t="s">
        <v>112</v>
      </c>
      <c r="E11" s="24" t="s">
        <v>76</v>
      </c>
      <c r="F11" s="26">
        <f>91789</f>
        <v>91789</v>
      </c>
      <c r="G11" s="26">
        <f>91789</f>
        <v>91789</v>
      </c>
      <c r="H11" s="26">
        <f>91789</f>
        <v>91789</v>
      </c>
    </row>
    <row r="12" spans="1:10" ht="16.5" customHeight="1" x14ac:dyDescent="0.2">
      <c r="A12" s="69" t="s">
        <v>13</v>
      </c>
      <c r="B12" s="24" t="s">
        <v>58</v>
      </c>
      <c r="C12" s="24" t="s">
        <v>30</v>
      </c>
      <c r="D12" s="24" t="s">
        <v>113</v>
      </c>
      <c r="E12" s="24" t="s">
        <v>76</v>
      </c>
      <c r="F12" s="26">
        <f>30292</f>
        <v>30292</v>
      </c>
      <c r="G12" s="26">
        <f>30292</f>
        <v>30292</v>
      </c>
      <c r="H12" s="26">
        <f>30292</f>
        <v>30292</v>
      </c>
    </row>
    <row r="13" spans="1:10" ht="16.5" customHeight="1" x14ac:dyDescent="0.2">
      <c r="A13" s="69" t="s">
        <v>13</v>
      </c>
      <c r="B13" s="24" t="s">
        <v>58</v>
      </c>
      <c r="C13" s="24" t="s">
        <v>30</v>
      </c>
      <c r="D13" s="24" t="s">
        <v>98</v>
      </c>
      <c r="E13" s="24" t="s">
        <v>76</v>
      </c>
      <c r="F13" s="26">
        <f>24955.5</f>
        <v>24955.5</v>
      </c>
      <c r="G13" s="26">
        <f>24955.5</f>
        <v>24955.5</v>
      </c>
      <c r="H13" s="26">
        <f>24955.5</f>
        <v>24955.5</v>
      </c>
    </row>
    <row r="14" spans="1:10" ht="16.5" customHeight="1" x14ac:dyDescent="0.2">
      <c r="A14" s="69" t="s">
        <v>13</v>
      </c>
      <c r="B14" s="24" t="s">
        <v>58</v>
      </c>
      <c r="C14" s="24" t="s">
        <v>30</v>
      </c>
      <c r="D14" s="24" t="s">
        <v>99</v>
      </c>
      <c r="E14" s="24" t="s">
        <v>76</v>
      </c>
      <c r="F14" s="26">
        <f>2038</f>
        <v>2038</v>
      </c>
      <c r="G14" s="26">
        <f>2038</f>
        <v>2038</v>
      </c>
      <c r="H14" s="26">
        <f>2038</f>
        <v>2038</v>
      </c>
    </row>
    <row r="15" spans="1:10" ht="16.5" customHeight="1" x14ac:dyDescent="0.2">
      <c r="A15" s="69" t="s">
        <v>13</v>
      </c>
      <c r="B15" s="24" t="s">
        <v>58</v>
      </c>
      <c r="C15" s="24" t="s">
        <v>30</v>
      </c>
      <c r="D15" s="24" t="s">
        <v>100</v>
      </c>
      <c r="E15" s="24" t="s">
        <v>76</v>
      </c>
      <c r="F15" s="26">
        <f>9008.8</f>
        <v>9008.7999999999993</v>
      </c>
      <c r="G15" s="26">
        <f>9008.8</f>
        <v>9008.7999999999993</v>
      </c>
      <c r="H15" s="26">
        <f>9008.8</f>
        <v>9008.7999999999993</v>
      </c>
    </row>
    <row r="16" spans="1:10" ht="16.5" customHeight="1" x14ac:dyDescent="0.2">
      <c r="A16" s="69" t="s">
        <v>13</v>
      </c>
      <c r="B16" s="24" t="s">
        <v>58</v>
      </c>
      <c r="C16" s="24" t="s">
        <v>30</v>
      </c>
      <c r="D16" s="24" t="s">
        <v>114</v>
      </c>
      <c r="E16" s="24" t="s">
        <v>14</v>
      </c>
      <c r="F16" s="26">
        <v>0.9</v>
      </c>
      <c r="G16" s="26">
        <v>0.9</v>
      </c>
      <c r="H16" s="26">
        <v>0.9</v>
      </c>
    </row>
    <row r="17" spans="1:15" ht="16.5" customHeight="1" x14ac:dyDescent="0.2">
      <c r="A17" s="69" t="s">
        <v>13</v>
      </c>
      <c r="B17" s="24" t="s">
        <v>58</v>
      </c>
      <c r="C17" s="24" t="s">
        <v>30</v>
      </c>
      <c r="D17" s="24" t="s">
        <v>115</v>
      </c>
      <c r="E17" s="24" t="s">
        <v>76</v>
      </c>
      <c r="F17" s="26">
        <f>11933.1</f>
        <v>11933.1</v>
      </c>
      <c r="G17" s="26">
        <f>11933.1</f>
        <v>11933.1</v>
      </c>
      <c r="H17" s="26">
        <f>11933.1</f>
        <v>11933.1</v>
      </c>
    </row>
    <row r="18" spans="1:15" ht="16.5" customHeight="1" x14ac:dyDescent="0.2">
      <c r="A18" s="69" t="s">
        <v>13</v>
      </c>
      <c r="B18" s="24" t="s">
        <v>58</v>
      </c>
      <c r="C18" s="24" t="s">
        <v>30</v>
      </c>
      <c r="D18" s="24" t="s">
        <v>116</v>
      </c>
      <c r="E18" s="24" t="s">
        <v>76</v>
      </c>
      <c r="F18" s="26">
        <f>3438</f>
        <v>3438</v>
      </c>
      <c r="G18" s="26">
        <f>3438</f>
        <v>3438</v>
      </c>
      <c r="H18" s="26">
        <f>3438</f>
        <v>3438</v>
      </c>
    </row>
    <row r="19" spans="1:15" ht="16.5" customHeight="1" x14ac:dyDescent="0.2">
      <c r="A19" s="69" t="s">
        <v>13</v>
      </c>
      <c r="B19" s="24" t="s">
        <v>58</v>
      </c>
      <c r="C19" s="24" t="s">
        <v>32</v>
      </c>
      <c r="D19" s="24" t="s">
        <v>141</v>
      </c>
      <c r="E19" s="24" t="s">
        <v>76</v>
      </c>
      <c r="F19" s="26">
        <f>30749</f>
        <v>30749</v>
      </c>
      <c r="G19" s="26">
        <f>31141</f>
        <v>31141</v>
      </c>
      <c r="H19" s="26">
        <f>27066</f>
        <v>27066</v>
      </c>
    </row>
    <row r="20" spans="1:15" ht="16.5" customHeight="1" x14ac:dyDescent="0.2">
      <c r="A20" s="69" t="s">
        <v>13</v>
      </c>
      <c r="B20" s="24" t="s">
        <v>58</v>
      </c>
      <c r="C20" s="24" t="s">
        <v>30</v>
      </c>
      <c r="D20" s="24" t="s">
        <v>101</v>
      </c>
      <c r="E20" s="24" t="s">
        <v>76</v>
      </c>
      <c r="F20" s="26">
        <f>494.2</f>
        <v>494.2</v>
      </c>
      <c r="G20" s="26">
        <f>494.2</f>
        <v>494.2</v>
      </c>
      <c r="H20" s="26">
        <f>494.2</f>
        <v>494.2</v>
      </c>
    </row>
    <row r="21" spans="1:15" ht="16.5" customHeight="1" x14ac:dyDescent="0.2">
      <c r="A21" s="69" t="s">
        <v>13</v>
      </c>
      <c r="B21" s="24" t="s">
        <v>58</v>
      </c>
      <c r="C21" s="24" t="s">
        <v>30</v>
      </c>
      <c r="D21" s="24" t="s">
        <v>118</v>
      </c>
      <c r="E21" s="24" t="s">
        <v>76</v>
      </c>
      <c r="F21" s="26">
        <f>12.6</f>
        <v>12.6</v>
      </c>
      <c r="G21" s="26">
        <f>12.6</f>
        <v>12.6</v>
      </c>
      <c r="H21" s="26">
        <f>12.6</f>
        <v>12.6</v>
      </c>
    </row>
    <row r="22" spans="1:15" ht="16.5" customHeight="1" x14ac:dyDescent="0.2">
      <c r="A22" s="69" t="s">
        <v>13</v>
      </c>
      <c r="B22" s="24" t="s">
        <v>58</v>
      </c>
      <c r="C22" s="24" t="s">
        <v>30</v>
      </c>
      <c r="D22" s="24" t="s">
        <v>117</v>
      </c>
      <c r="E22" s="24" t="s">
        <v>76</v>
      </c>
      <c r="F22" s="26">
        <f>102.4</f>
        <v>102.4</v>
      </c>
      <c r="G22" s="26">
        <f>102.4</f>
        <v>102.4</v>
      </c>
      <c r="H22" s="26">
        <f>102.4</f>
        <v>102.4</v>
      </c>
    </row>
    <row r="23" spans="1:15" ht="16.5" customHeight="1" x14ac:dyDescent="0.2">
      <c r="A23" s="69" t="s">
        <v>13</v>
      </c>
      <c r="B23" s="24" t="s">
        <v>58</v>
      </c>
      <c r="C23" s="24" t="s">
        <v>30</v>
      </c>
      <c r="D23" s="24" t="s">
        <v>120</v>
      </c>
      <c r="E23" s="24" t="s">
        <v>76</v>
      </c>
      <c r="F23" s="26">
        <f>853.1</f>
        <v>853.1</v>
      </c>
      <c r="G23" s="26">
        <f>853.1</f>
        <v>853.1</v>
      </c>
      <c r="H23" s="26">
        <f>853.1</f>
        <v>853.1</v>
      </c>
    </row>
    <row r="24" spans="1:15" ht="16.5" customHeight="1" x14ac:dyDescent="0.2">
      <c r="A24" s="69" t="s">
        <v>13</v>
      </c>
      <c r="B24" s="24" t="s">
        <v>58</v>
      </c>
      <c r="C24" s="24" t="s">
        <v>30</v>
      </c>
      <c r="D24" s="24" t="s">
        <v>121</v>
      </c>
      <c r="E24" s="24" t="s">
        <v>76</v>
      </c>
      <c r="F24" s="26">
        <f>278.3</f>
        <v>278.3</v>
      </c>
      <c r="G24" s="26">
        <f>278.3</f>
        <v>278.3</v>
      </c>
      <c r="H24" s="26">
        <f>278.3</f>
        <v>278.3</v>
      </c>
    </row>
    <row r="25" spans="1:15" ht="16.5" customHeight="1" x14ac:dyDescent="0.2">
      <c r="A25" s="69" t="s">
        <v>13</v>
      </c>
      <c r="B25" s="24" t="s">
        <v>58</v>
      </c>
      <c r="C25" s="24" t="s">
        <v>30</v>
      </c>
      <c r="D25" s="24" t="s">
        <v>122</v>
      </c>
      <c r="E25" s="24" t="s">
        <v>76</v>
      </c>
      <c r="F25" s="26">
        <f>23587</f>
        <v>23587</v>
      </c>
      <c r="G25" s="26">
        <f>23291</f>
        <v>23291</v>
      </c>
      <c r="H25" s="26">
        <f>22995</f>
        <v>22995</v>
      </c>
    </row>
    <row r="26" spans="1:15" ht="16.5" customHeight="1" x14ac:dyDescent="0.2">
      <c r="A26" s="69" t="s">
        <v>13</v>
      </c>
      <c r="B26" s="24" t="s">
        <v>58</v>
      </c>
      <c r="C26" s="24" t="s">
        <v>30</v>
      </c>
      <c r="D26" s="24" t="s">
        <v>102</v>
      </c>
      <c r="E26" s="24" t="s">
        <v>76</v>
      </c>
      <c r="F26" s="26">
        <f>679.9</f>
        <v>679.9</v>
      </c>
      <c r="G26" s="26">
        <f>679.9</f>
        <v>679.9</v>
      </c>
      <c r="H26" s="26">
        <f>679.9</f>
        <v>679.9</v>
      </c>
    </row>
    <row r="27" spans="1:15" ht="16.5" customHeight="1" x14ac:dyDescent="0.2">
      <c r="A27" s="69" t="s">
        <v>13</v>
      </c>
      <c r="B27" s="24" t="s">
        <v>58</v>
      </c>
      <c r="C27" s="24" t="s">
        <v>30</v>
      </c>
      <c r="D27" s="24" t="s">
        <v>123</v>
      </c>
      <c r="E27" s="24" t="s">
        <v>76</v>
      </c>
      <c r="F27" s="26">
        <f>49601.5+12870+7200+16500+212</f>
        <v>86383.5</v>
      </c>
      <c r="G27" s="26">
        <f>49601.5+12870+7200+16500+212</f>
        <v>86383.5</v>
      </c>
      <c r="H27" s="26">
        <f>49601.5+12870+7200+16500+212</f>
        <v>86383.5</v>
      </c>
    </row>
    <row r="28" spans="1:15" ht="16.5" customHeight="1" x14ac:dyDescent="0.2">
      <c r="A28" s="69" t="s">
        <v>13</v>
      </c>
      <c r="B28" s="24" t="s">
        <v>58</v>
      </c>
      <c r="C28" s="24" t="s">
        <v>30</v>
      </c>
      <c r="D28" s="24" t="s">
        <v>97</v>
      </c>
      <c r="E28" s="24" t="s">
        <v>76</v>
      </c>
      <c r="F28" s="26">
        <f>1109</f>
        <v>1109</v>
      </c>
      <c r="G28" s="26">
        <f>1109</f>
        <v>1109</v>
      </c>
      <c r="H28" s="26">
        <f>1109</f>
        <v>1109</v>
      </c>
    </row>
    <row r="29" spans="1:15" ht="16.5" customHeight="1" x14ac:dyDescent="0.2">
      <c r="A29" s="69" t="s">
        <v>13</v>
      </c>
      <c r="B29" s="24" t="s">
        <v>58</v>
      </c>
      <c r="C29" s="24" t="s">
        <v>30</v>
      </c>
      <c r="D29" s="24" t="s">
        <v>124</v>
      </c>
      <c r="E29" s="24" t="s">
        <v>76</v>
      </c>
      <c r="F29" s="26">
        <f>498.8</f>
        <v>498.8</v>
      </c>
      <c r="G29" s="26">
        <f>527.8</f>
        <v>527.79999999999995</v>
      </c>
      <c r="H29" s="26">
        <f>527.8</f>
        <v>527.79999999999995</v>
      </c>
    </row>
    <row r="30" spans="1:15" ht="16.5" customHeight="1" x14ac:dyDescent="0.2">
      <c r="A30" s="69" t="s">
        <v>13</v>
      </c>
      <c r="B30" s="24" t="s">
        <v>58</v>
      </c>
      <c r="C30" s="24" t="s">
        <v>25</v>
      </c>
      <c r="D30" s="24" t="s">
        <v>374</v>
      </c>
      <c r="E30" s="24" t="s">
        <v>77</v>
      </c>
      <c r="F30" s="26">
        <v>5665.8</v>
      </c>
      <c r="G30" s="26">
        <v>5665.8</v>
      </c>
      <c r="H30" s="26">
        <v>5665.8</v>
      </c>
    </row>
    <row r="31" spans="1:15" s="27" customFormat="1" ht="16.5" customHeight="1" x14ac:dyDescent="0.2">
      <c r="A31" s="69" t="s">
        <v>13</v>
      </c>
      <c r="B31" s="24" t="s">
        <v>25</v>
      </c>
      <c r="C31" s="24" t="s">
        <v>67</v>
      </c>
      <c r="D31" s="24" t="s">
        <v>144</v>
      </c>
      <c r="E31" s="24" t="s">
        <v>14</v>
      </c>
      <c r="F31" s="26">
        <v>720</v>
      </c>
      <c r="G31" s="26">
        <v>720</v>
      </c>
      <c r="H31" s="26">
        <v>720</v>
      </c>
      <c r="J31" s="13"/>
      <c r="K31" s="13"/>
      <c r="L31" s="13"/>
      <c r="M31" s="13"/>
      <c r="N31" s="13"/>
      <c r="O31" s="13"/>
    </row>
    <row r="33" spans="6:12" x14ac:dyDescent="0.2">
      <c r="F33" s="53">
        <f>SUM(F3:F32)</f>
        <v>475798.19999999995</v>
      </c>
      <c r="G33" s="53">
        <f t="shared" ref="G33:H33" si="0">SUM(G3:G32)</f>
        <v>476200.69999999995</v>
      </c>
      <c r="H33" s="53">
        <f t="shared" si="0"/>
        <v>471706.69999999995</v>
      </c>
      <c r="L33" s="54"/>
    </row>
    <row r="35" spans="6:12" x14ac:dyDescent="0.2">
      <c r="F35" s="58">
        <v>475798.2</v>
      </c>
      <c r="G35" s="63">
        <v>476200.7</v>
      </c>
      <c r="H35" s="63">
        <v>471706.7</v>
      </c>
    </row>
    <row r="36" spans="6:12" x14ac:dyDescent="0.2">
      <c r="F36" s="53">
        <f>F35-F33</f>
        <v>0</v>
      </c>
      <c r="G36" s="53">
        <f t="shared" ref="G36:H36" si="1">G35-G33</f>
        <v>0</v>
      </c>
      <c r="H36" s="53">
        <f t="shared" si="1"/>
        <v>0</v>
      </c>
    </row>
    <row r="38" spans="6:12" ht="15" x14ac:dyDescent="0.25">
      <c r="F38" s="67"/>
      <c r="G38" s="67"/>
      <c r="H38" s="67"/>
    </row>
    <row r="39" spans="6:12" x14ac:dyDescent="0.2">
      <c r="G39" s="65"/>
      <c r="H39" s="65"/>
    </row>
  </sheetData>
  <autoFilter ref="A2:O31"/>
  <mergeCells count="1">
    <mergeCell ref="A1:F1"/>
  </mergeCells>
  <pageMargins left="0.84" right="0.19685039370078741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6"/>
  <sheetViews>
    <sheetView tabSelected="1" topLeftCell="A414" zoomScaleNormal="100" workbookViewId="0">
      <selection activeCell="J424" sqref="J424"/>
    </sheetView>
  </sheetViews>
  <sheetFormatPr defaultRowHeight="12.75" x14ac:dyDescent="0.2"/>
  <cols>
    <col min="1" max="1" width="61.140625" style="13" customWidth="1"/>
    <col min="2" max="2" width="4.85546875" style="66" customWidth="1"/>
    <col min="3" max="3" width="6.140625" style="66" customWidth="1"/>
    <col min="4" max="4" width="16.85546875" style="66" customWidth="1"/>
    <col min="5" max="5" width="5.85546875" style="66" customWidth="1"/>
    <col min="6" max="7" width="14.85546875" style="66" customWidth="1"/>
    <col min="8" max="8" width="17" style="66" customWidth="1"/>
    <col min="9" max="9" width="14.7109375" style="13" customWidth="1"/>
    <col min="10" max="16384" width="9.140625" style="13"/>
  </cols>
  <sheetData>
    <row r="1" spans="1:8" ht="12.75" customHeight="1" x14ac:dyDescent="0.2">
      <c r="C1" s="13"/>
      <c r="D1" s="13"/>
      <c r="E1" s="13"/>
      <c r="F1" s="13"/>
      <c r="G1" s="13"/>
      <c r="H1" s="62" t="s">
        <v>81</v>
      </c>
    </row>
    <row r="2" spans="1:8" ht="12.75" customHeight="1" x14ac:dyDescent="0.2">
      <c r="C2" s="13"/>
      <c r="D2" s="13"/>
      <c r="E2" s="13"/>
      <c r="F2" s="13"/>
      <c r="G2" s="13"/>
      <c r="H2" s="62" t="s">
        <v>70</v>
      </c>
    </row>
    <row r="3" spans="1:8" ht="12.75" customHeight="1" x14ac:dyDescent="0.2">
      <c r="C3" s="13"/>
      <c r="D3" s="13"/>
      <c r="E3" s="13"/>
      <c r="F3" s="13"/>
      <c r="G3" s="13"/>
      <c r="H3" s="62" t="s">
        <v>161</v>
      </c>
    </row>
    <row r="4" spans="1:8" x14ac:dyDescent="0.2">
      <c r="A4" s="33"/>
      <c r="B4" s="33"/>
      <c r="C4" s="33"/>
      <c r="D4" s="33"/>
      <c r="E4" s="34"/>
      <c r="F4" s="33"/>
      <c r="G4" s="33"/>
      <c r="H4" s="33"/>
    </row>
    <row r="5" spans="1:8" s="15" customFormat="1" ht="75" customHeight="1" x14ac:dyDescent="0.2">
      <c r="A5" s="72" t="s">
        <v>158</v>
      </c>
      <c r="B5" s="72"/>
      <c r="C5" s="72"/>
      <c r="D5" s="72"/>
      <c r="E5" s="72"/>
      <c r="F5" s="72"/>
      <c r="G5" s="72"/>
      <c r="H5" s="72"/>
    </row>
    <row r="6" spans="1:8" s="15" customFormat="1" ht="18.75" x14ac:dyDescent="0.2">
      <c r="A6" s="72"/>
      <c r="B6" s="72"/>
      <c r="C6" s="72"/>
      <c r="D6" s="72"/>
      <c r="E6" s="72"/>
      <c r="F6" s="72"/>
    </row>
    <row r="7" spans="1:8" s="16" customFormat="1" ht="12" thickBot="1" x14ac:dyDescent="0.25">
      <c r="A7" s="71"/>
      <c r="B7" s="71"/>
      <c r="C7" s="71"/>
      <c r="D7" s="71"/>
      <c r="E7" s="71"/>
      <c r="F7" s="71"/>
      <c r="H7" s="61" t="s">
        <v>7</v>
      </c>
    </row>
    <row r="8" spans="1:8" ht="39.75" x14ac:dyDescent="0.2">
      <c r="A8" s="17"/>
      <c r="B8" s="18" t="s">
        <v>22</v>
      </c>
      <c r="C8" s="18" t="s">
        <v>3</v>
      </c>
      <c r="D8" s="18" t="s">
        <v>23</v>
      </c>
      <c r="E8" s="18" t="s">
        <v>24</v>
      </c>
      <c r="F8" s="19" t="s">
        <v>159</v>
      </c>
      <c r="G8" s="19" t="s">
        <v>162</v>
      </c>
      <c r="H8" s="19" t="s">
        <v>160</v>
      </c>
    </row>
    <row r="9" spans="1:8" s="22" customFormat="1" ht="15.75" x14ac:dyDescent="0.25">
      <c r="A9" s="35" t="s">
        <v>4</v>
      </c>
      <c r="B9" s="36" t="s">
        <v>25</v>
      </c>
      <c r="C9" s="36" t="s">
        <v>26</v>
      </c>
      <c r="D9" s="36"/>
      <c r="E9" s="36"/>
      <c r="F9" s="37">
        <f>F10+F13+F22+F35+F42+F45</f>
        <v>85817.600000000006</v>
      </c>
      <c r="G9" s="37">
        <f t="shared" ref="G9:H9" si="0">G10+G13+G22+G35+G42+G45</f>
        <v>82981.600000000006</v>
      </c>
      <c r="H9" s="37">
        <f t="shared" si="0"/>
        <v>82980.600000000006</v>
      </c>
    </row>
    <row r="10" spans="1:8" s="4" customFormat="1" ht="25.5" x14ac:dyDescent="0.2">
      <c r="A10" s="14" t="s">
        <v>27</v>
      </c>
      <c r="B10" s="11" t="s">
        <v>25</v>
      </c>
      <c r="C10" s="11" t="s">
        <v>28</v>
      </c>
      <c r="D10" s="11"/>
      <c r="E10" s="11"/>
      <c r="F10" s="12">
        <f t="shared" ref="F10:H11" si="1">F11</f>
        <v>1053.8</v>
      </c>
      <c r="G10" s="12">
        <f t="shared" si="1"/>
        <v>1053.8</v>
      </c>
      <c r="H10" s="12">
        <f t="shared" si="1"/>
        <v>1053.8</v>
      </c>
    </row>
    <row r="11" spans="1:8" ht="25.5" x14ac:dyDescent="0.2">
      <c r="A11" s="10" t="s">
        <v>164</v>
      </c>
      <c r="B11" s="8" t="s">
        <v>25</v>
      </c>
      <c r="C11" s="8" t="s">
        <v>28</v>
      </c>
      <c r="D11" s="8" t="s">
        <v>163</v>
      </c>
      <c r="E11" s="8"/>
      <c r="F11" s="9">
        <f t="shared" si="1"/>
        <v>1053.8</v>
      </c>
      <c r="G11" s="9">
        <f t="shared" si="1"/>
        <v>1053.8</v>
      </c>
      <c r="H11" s="9">
        <f t="shared" si="1"/>
        <v>1053.8</v>
      </c>
    </row>
    <row r="12" spans="1:8" s="27" customFormat="1" ht="51" x14ac:dyDescent="0.2">
      <c r="A12" s="23" t="s">
        <v>9</v>
      </c>
      <c r="B12" s="24" t="s">
        <v>25</v>
      </c>
      <c r="C12" s="24" t="s">
        <v>28</v>
      </c>
      <c r="D12" s="24" t="s">
        <v>163</v>
      </c>
      <c r="E12" s="25" t="s">
        <v>10</v>
      </c>
      <c r="F12" s="26">
        <f>771+50+232.8</f>
        <v>1053.8</v>
      </c>
      <c r="G12" s="26">
        <f t="shared" ref="G12:H12" si="2">771+50+232.8</f>
        <v>1053.8</v>
      </c>
      <c r="H12" s="26">
        <f t="shared" si="2"/>
        <v>1053.8</v>
      </c>
    </row>
    <row r="13" spans="1:8" s="27" customFormat="1" ht="38.25" x14ac:dyDescent="0.2">
      <c r="A13" s="14" t="s">
        <v>29</v>
      </c>
      <c r="B13" s="11" t="s">
        <v>25</v>
      </c>
      <c r="C13" s="11" t="s">
        <v>30</v>
      </c>
      <c r="D13" s="11"/>
      <c r="E13" s="11"/>
      <c r="F13" s="12">
        <f>F14+F18+F20</f>
        <v>6233.6</v>
      </c>
      <c r="G13" s="12">
        <f>G14+G18+G20</f>
        <v>6233.6</v>
      </c>
      <c r="H13" s="12">
        <f>H14+H18+H20</f>
        <v>6233.6</v>
      </c>
    </row>
    <row r="14" spans="1:8" x14ac:dyDescent="0.2">
      <c r="A14" s="10" t="s">
        <v>165</v>
      </c>
      <c r="B14" s="8" t="s">
        <v>25</v>
      </c>
      <c r="C14" s="8" t="s">
        <v>30</v>
      </c>
      <c r="D14" s="8" t="s">
        <v>166</v>
      </c>
      <c r="E14" s="8"/>
      <c r="F14" s="9">
        <f>F15+F16+F17</f>
        <v>2563.4</v>
      </c>
      <c r="G14" s="9">
        <f>G15+G16+G17</f>
        <v>2563.4</v>
      </c>
      <c r="H14" s="9">
        <f>H15+H16+H17</f>
        <v>2563.4</v>
      </c>
    </row>
    <row r="15" spans="1:8" s="27" customFormat="1" ht="51" x14ac:dyDescent="0.2">
      <c r="A15" s="23" t="s">
        <v>9</v>
      </c>
      <c r="B15" s="24" t="s">
        <v>25</v>
      </c>
      <c r="C15" s="24" t="s">
        <v>30</v>
      </c>
      <c r="D15" s="24" t="s">
        <v>166</v>
      </c>
      <c r="E15" s="25" t="s">
        <v>10</v>
      </c>
      <c r="F15" s="26">
        <v>2107.4</v>
      </c>
      <c r="G15" s="26">
        <v>2107.4</v>
      </c>
      <c r="H15" s="26">
        <v>2107.4</v>
      </c>
    </row>
    <row r="16" spans="1:8" s="4" customFormat="1" ht="25.5" x14ac:dyDescent="0.2">
      <c r="A16" s="28" t="s">
        <v>20</v>
      </c>
      <c r="B16" s="24" t="s">
        <v>25</v>
      </c>
      <c r="C16" s="24" t="s">
        <v>30</v>
      </c>
      <c r="D16" s="24" t="s">
        <v>166</v>
      </c>
      <c r="E16" s="25" t="s">
        <v>12</v>
      </c>
      <c r="F16" s="26">
        <v>453.9</v>
      </c>
      <c r="G16" s="26">
        <v>453.9</v>
      </c>
      <c r="H16" s="26">
        <v>453.9</v>
      </c>
    </row>
    <row r="17" spans="1:8" x14ac:dyDescent="0.2">
      <c r="A17" s="28" t="s">
        <v>16</v>
      </c>
      <c r="B17" s="24" t="s">
        <v>25</v>
      </c>
      <c r="C17" s="24" t="s">
        <v>30</v>
      </c>
      <c r="D17" s="24" t="s">
        <v>166</v>
      </c>
      <c r="E17" s="24" t="s">
        <v>17</v>
      </c>
      <c r="F17" s="26">
        <v>2.1</v>
      </c>
      <c r="G17" s="26">
        <v>2.1</v>
      </c>
      <c r="H17" s="26">
        <v>2.1</v>
      </c>
    </row>
    <row r="18" spans="1:8" s="27" customFormat="1" ht="25.5" x14ac:dyDescent="0.2">
      <c r="A18" s="10" t="s">
        <v>168</v>
      </c>
      <c r="B18" s="8" t="s">
        <v>25</v>
      </c>
      <c r="C18" s="8" t="s">
        <v>30</v>
      </c>
      <c r="D18" s="8" t="s">
        <v>167</v>
      </c>
      <c r="E18" s="8"/>
      <c r="F18" s="9">
        <f>F19</f>
        <v>1253.3</v>
      </c>
      <c r="G18" s="9">
        <f>G19</f>
        <v>1253.3</v>
      </c>
      <c r="H18" s="9">
        <f>H19</f>
        <v>1253.3</v>
      </c>
    </row>
    <row r="19" spans="1:8" s="7" customFormat="1" ht="51" x14ac:dyDescent="0.2">
      <c r="A19" s="23" t="s">
        <v>9</v>
      </c>
      <c r="B19" s="24" t="s">
        <v>25</v>
      </c>
      <c r="C19" s="24" t="s">
        <v>30</v>
      </c>
      <c r="D19" s="24" t="s">
        <v>167</v>
      </c>
      <c r="E19" s="25" t="s">
        <v>10</v>
      </c>
      <c r="F19" s="26">
        <v>1253.3</v>
      </c>
      <c r="G19" s="26">
        <v>1253.3</v>
      </c>
      <c r="H19" s="26">
        <v>1253.3</v>
      </c>
    </row>
    <row r="20" spans="1:8" s="47" customFormat="1" ht="25.5" x14ac:dyDescent="0.2">
      <c r="A20" s="10" t="s">
        <v>170</v>
      </c>
      <c r="B20" s="8" t="s">
        <v>25</v>
      </c>
      <c r="C20" s="8" t="s">
        <v>30</v>
      </c>
      <c r="D20" s="8" t="s">
        <v>169</v>
      </c>
      <c r="E20" s="8"/>
      <c r="F20" s="9">
        <f>F21</f>
        <v>2416.9</v>
      </c>
      <c r="G20" s="9">
        <f>G21</f>
        <v>2416.9</v>
      </c>
      <c r="H20" s="9">
        <f>H21</f>
        <v>2416.9</v>
      </c>
    </row>
    <row r="21" spans="1:8" ht="51" x14ac:dyDescent="0.2">
      <c r="A21" s="23" t="s">
        <v>9</v>
      </c>
      <c r="B21" s="24" t="s">
        <v>25</v>
      </c>
      <c r="C21" s="24" t="s">
        <v>30</v>
      </c>
      <c r="D21" s="24" t="s">
        <v>169</v>
      </c>
      <c r="E21" s="25" t="s">
        <v>10</v>
      </c>
      <c r="F21" s="26">
        <v>2416.9</v>
      </c>
      <c r="G21" s="26">
        <v>2416.9</v>
      </c>
      <c r="H21" s="26">
        <v>2416.9</v>
      </c>
    </row>
    <row r="22" spans="1:8" s="27" customFormat="1" ht="38.25" x14ac:dyDescent="0.2">
      <c r="A22" s="14" t="s">
        <v>31</v>
      </c>
      <c r="B22" s="11" t="s">
        <v>25</v>
      </c>
      <c r="C22" s="11" t="s">
        <v>32</v>
      </c>
      <c r="D22" s="11"/>
      <c r="E22" s="11"/>
      <c r="F22" s="12">
        <f>F23+F26+F28+F32</f>
        <v>39153.800000000003</v>
      </c>
      <c r="G22" s="12">
        <f>G23+G26+G28+G32</f>
        <v>37471.800000000003</v>
      </c>
      <c r="H22" s="12">
        <f>H23+H26+H28+H32</f>
        <v>37470.800000000003</v>
      </c>
    </row>
    <row r="23" spans="1:8" ht="25.5" x14ac:dyDescent="0.2">
      <c r="A23" s="10" t="s">
        <v>171</v>
      </c>
      <c r="B23" s="8" t="s">
        <v>25</v>
      </c>
      <c r="C23" s="8" t="s">
        <v>32</v>
      </c>
      <c r="D23" s="8" t="s">
        <v>90</v>
      </c>
      <c r="E23" s="8"/>
      <c r="F23" s="9">
        <f>F24+F25</f>
        <v>332</v>
      </c>
      <c r="G23" s="9">
        <f>G24+G25</f>
        <v>330</v>
      </c>
      <c r="H23" s="9">
        <f>H24+H25</f>
        <v>329</v>
      </c>
    </row>
    <row r="24" spans="1:8" s="27" customFormat="1" ht="51" x14ac:dyDescent="0.2">
      <c r="A24" s="23" t="s">
        <v>9</v>
      </c>
      <c r="B24" s="24" t="s">
        <v>25</v>
      </c>
      <c r="C24" s="24" t="s">
        <v>32</v>
      </c>
      <c r="D24" s="24" t="s">
        <v>90</v>
      </c>
      <c r="E24" s="25" t="s">
        <v>10</v>
      </c>
      <c r="F24" s="26">
        <f>303.7</f>
        <v>303.7</v>
      </c>
      <c r="G24" s="26">
        <f t="shared" ref="G24:H24" si="3">303.7</f>
        <v>303.7</v>
      </c>
      <c r="H24" s="26">
        <f t="shared" si="3"/>
        <v>303.7</v>
      </c>
    </row>
    <row r="25" spans="1:8" ht="25.5" x14ac:dyDescent="0.2">
      <c r="A25" s="28" t="s">
        <v>20</v>
      </c>
      <c r="B25" s="24" t="s">
        <v>25</v>
      </c>
      <c r="C25" s="24" t="s">
        <v>32</v>
      </c>
      <c r="D25" s="24" t="s">
        <v>90</v>
      </c>
      <c r="E25" s="25" t="s">
        <v>12</v>
      </c>
      <c r="F25" s="26">
        <f>28.3</f>
        <v>28.3</v>
      </c>
      <c r="G25" s="26">
        <f>26.3</f>
        <v>26.3</v>
      </c>
      <c r="H25" s="26">
        <f>25.3</f>
        <v>25.3</v>
      </c>
    </row>
    <row r="26" spans="1:8" s="27" customFormat="1" x14ac:dyDescent="0.2">
      <c r="A26" s="10" t="s">
        <v>172</v>
      </c>
      <c r="B26" s="8" t="s">
        <v>25</v>
      </c>
      <c r="C26" s="8" t="s">
        <v>32</v>
      </c>
      <c r="D26" s="8" t="s">
        <v>89</v>
      </c>
      <c r="E26" s="8"/>
      <c r="F26" s="9">
        <f>F27</f>
        <v>115</v>
      </c>
      <c r="G26" s="9">
        <f>G27</f>
        <v>115</v>
      </c>
      <c r="H26" s="9">
        <f>H27</f>
        <v>115</v>
      </c>
    </row>
    <row r="27" spans="1:8" s="27" customFormat="1" ht="51" x14ac:dyDescent="0.2">
      <c r="A27" s="23" t="s">
        <v>9</v>
      </c>
      <c r="B27" s="24" t="s">
        <v>25</v>
      </c>
      <c r="C27" s="24" t="s">
        <v>32</v>
      </c>
      <c r="D27" s="24" t="s">
        <v>89</v>
      </c>
      <c r="E27" s="25" t="s">
        <v>10</v>
      </c>
      <c r="F27" s="26">
        <f>115</f>
        <v>115</v>
      </c>
      <c r="G27" s="26">
        <f>115</f>
        <v>115</v>
      </c>
      <c r="H27" s="26">
        <f>115</f>
        <v>115</v>
      </c>
    </row>
    <row r="28" spans="1:8" s="22" customFormat="1" ht="26.25" x14ac:dyDescent="0.25">
      <c r="A28" s="10" t="s">
        <v>174</v>
      </c>
      <c r="B28" s="8" t="s">
        <v>25</v>
      </c>
      <c r="C28" s="8" t="s">
        <v>32</v>
      </c>
      <c r="D28" s="8" t="s">
        <v>173</v>
      </c>
      <c r="E28" s="8"/>
      <c r="F28" s="9">
        <f>F29+F30+F31</f>
        <v>36515.9</v>
      </c>
      <c r="G28" s="9">
        <f>G29+G30+G31</f>
        <v>34835.9</v>
      </c>
      <c r="H28" s="9">
        <f>H29+H30+H31</f>
        <v>34835.9</v>
      </c>
    </row>
    <row r="29" spans="1:8" s="4" customFormat="1" ht="51" x14ac:dyDescent="0.2">
      <c r="A29" s="23" t="s">
        <v>9</v>
      </c>
      <c r="B29" s="24" t="s">
        <v>25</v>
      </c>
      <c r="C29" s="24" t="s">
        <v>32</v>
      </c>
      <c r="D29" s="24" t="s">
        <v>173</v>
      </c>
      <c r="E29" s="25" t="s">
        <v>10</v>
      </c>
      <c r="F29" s="26">
        <f>16028.2+4840.6+100</f>
        <v>20968.800000000003</v>
      </c>
      <c r="G29" s="26">
        <f t="shared" ref="G29:H29" si="4">16028.2+4840.6+100</f>
        <v>20968.800000000003</v>
      </c>
      <c r="H29" s="26">
        <f t="shared" si="4"/>
        <v>20968.800000000003</v>
      </c>
    </row>
    <row r="30" spans="1:8" ht="25.5" x14ac:dyDescent="0.2">
      <c r="A30" s="28" t="s">
        <v>20</v>
      </c>
      <c r="B30" s="24" t="s">
        <v>25</v>
      </c>
      <c r="C30" s="24" t="s">
        <v>32</v>
      </c>
      <c r="D30" s="24" t="s">
        <v>173</v>
      </c>
      <c r="E30" s="25" t="s">
        <v>12</v>
      </c>
      <c r="F30" s="26">
        <v>15271.6</v>
      </c>
      <c r="G30" s="26">
        <v>13591.6</v>
      </c>
      <c r="H30" s="26">
        <v>13591.6</v>
      </c>
    </row>
    <row r="31" spans="1:8" s="27" customFormat="1" x14ac:dyDescent="0.2">
      <c r="A31" s="28" t="s">
        <v>16</v>
      </c>
      <c r="B31" s="24" t="s">
        <v>25</v>
      </c>
      <c r="C31" s="24" t="s">
        <v>32</v>
      </c>
      <c r="D31" s="24" t="s">
        <v>173</v>
      </c>
      <c r="E31" s="24" t="s">
        <v>17</v>
      </c>
      <c r="F31" s="26">
        <v>275.5</v>
      </c>
      <c r="G31" s="26">
        <v>275.5</v>
      </c>
      <c r="H31" s="26">
        <v>275.5</v>
      </c>
    </row>
    <row r="32" spans="1:8" s="21" customFormat="1" ht="25.5" x14ac:dyDescent="0.2">
      <c r="A32" s="10" t="s">
        <v>176</v>
      </c>
      <c r="B32" s="8" t="s">
        <v>25</v>
      </c>
      <c r="C32" s="8" t="s">
        <v>32</v>
      </c>
      <c r="D32" s="8" t="s">
        <v>175</v>
      </c>
      <c r="E32" s="8"/>
      <c r="F32" s="9">
        <f>F33+F34</f>
        <v>2190.9</v>
      </c>
      <c r="G32" s="9">
        <f>G33+G34</f>
        <v>2190.9</v>
      </c>
      <c r="H32" s="9">
        <f>H33+H34</f>
        <v>2190.9</v>
      </c>
    </row>
    <row r="33" spans="1:8" s="4" customFormat="1" ht="51" x14ac:dyDescent="0.2">
      <c r="A33" s="23" t="s">
        <v>9</v>
      </c>
      <c r="B33" s="24" t="s">
        <v>25</v>
      </c>
      <c r="C33" s="24" t="s">
        <v>32</v>
      </c>
      <c r="D33" s="8" t="s">
        <v>175</v>
      </c>
      <c r="E33" s="25" t="s">
        <v>10</v>
      </c>
      <c r="F33" s="26">
        <v>2011.8</v>
      </c>
      <c r="G33" s="26">
        <v>2011.8</v>
      </c>
      <c r="H33" s="26">
        <v>2011.8</v>
      </c>
    </row>
    <row r="34" spans="1:8" ht="25.5" x14ac:dyDescent="0.2">
      <c r="A34" s="28" t="s">
        <v>20</v>
      </c>
      <c r="B34" s="24" t="s">
        <v>25</v>
      </c>
      <c r="C34" s="24" t="s">
        <v>32</v>
      </c>
      <c r="D34" s="8" t="s">
        <v>175</v>
      </c>
      <c r="E34" s="25" t="s">
        <v>12</v>
      </c>
      <c r="F34" s="26">
        <v>179.1</v>
      </c>
      <c r="G34" s="26">
        <v>179.1</v>
      </c>
      <c r="H34" s="26">
        <v>179.1</v>
      </c>
    </row>
    <row r="35" spans="1:8" s="21" customFormat="1" ht="38.25" x14ac:dyDescent="0.2">
      <c r="A35" s="14" t="s">
        <v>75</v>
      </c>
      <c r="B35" s="11" t="s">
        <v>25</v>
      </c>
      <c r="C35" s="11" t="s">
        <v>56</v>
      </c>
      <c r="D35" s="11"/>
      <c r="E35" s="11"/>
      <c r="F35" s="12">
        <f>F36+F40</f>
        <v>2029.9</v>
      </c>
      <c r="G35" s="12">
        <f>G36+G40</f>
        <v>2029.9</v>
      </c>
      <c r="H35" s="12">
        <f>H36+H40</f>
        <v>2029.9</v>
      </c>
    </row>
    <row r="36" spans="1:8" s="4" customFormat="1" ht="25.5" x14ac:dyDescent="0.2">
      <c r="A36" s="10" t="s">
        <v>73</v>
      </c>
      <c r="B36" s="8" t="s">
        <v>25</v>
      </c>
      <c r="C36" s="8" t="s">
        <v>56</v>
      </c>
      <c r="D36" s="8" t="s">
        <v>166</v>
      </c>
      <c r="E36" s="8"/>
      <c r="F36" s="9">
        <f>+F37+F38+F39</f>
        <v>1501.1</v>
      </c>
      <c r="G36" s="9">
        <f>+G37+G38+G39</f>
        <v>1501.1</v>
      </c>
      <c r="H36" s="9">
        <f>+H37+H38+H39</f>
        <v>1501.1</v>
      </c>
    </row>
    <row r="37" spans="1:8" ht="51" x14ac:dyDescent="0.2">
      <c r="A37" s="23" t="s">
        <v>9</v>
      </c>
      <c r="B37" s="24" t="s">
        <v>25</v>
      </c>
      <c r="C37" s="24" t="s">
        <v>56</v>
      </c>
      <c r="D37" s="24" t="s">
        <v>166</v>
      </c>
      <c r="E37" s="25" t="s">
        <v>10</v>
      </c>
      <c r="F37" s="26">
        <v>1181</v>
      </c>
      <c r="G37" s="26">
        <v>1181</v>
      </c>
      <c r="H37" s="26">
        <v>1181</v>
      </c>
    </row>
    <row r="38" spans="1:8" ht="25.5" x14ac:dyDescent="0.2">
      <c r="A38" s="28" t="s">
        <v>20</v>
      </c>
      <c r="B38" s="24" t="s">
        <v>25</v>
      </c>
      <c r="C38" s="24" t="s">
        <v>56</v>
      </c>
      <c r="D38" s="24" t="s">
        <v>166</v>
      </c>
      <c r="E38" s="25" t="s">
        <v>12</v>
      </c>
      <c r="F38" s="26">
        <v>319.5</v>
      </c>
      <c r="G38" s="26">
        <v>319.5</v>
      </c>
      <c r="H38" s="26">
        <v>319.5</v>
      </c>
    </row>
    <row r="39" spans="1:8" s="27" customFormat="1" x14ac:dyDescent="0.2">
      <c r="A39" s="28" t="s">
        <v>16</v>
      </c>
      <c r="B39" s="24" t="s">
        <v>25</v>
      </c>
      <c r="C39" s="24" t="s">
        <v>56</v>
      </c>
      <c r="D39" s="24" t="s">
        <v>166</v>
      </c>
      <c r="E39" s="24" t="s">
        <v>17</v>
      </c>
      <c r="F39" s="26">
        <v>0.6</v>
      </c>
      <c r="G39" s="26">
        <v>0.6</v>
      </c>
      <c r="H39" s="26">
        <v>0.6</v>
      </c>
    </row>
    <row r="40" spans="1:8" x14ac:dyDescent="0.2">
      <c r="A40" s="10" t="s">
        <v>179</v>
      </c>
      <c r="B40" s="8" t="s">
        <v>25</v>
      </c>
      <c r="C40" s="8" t="s">
        <v>56</v>
      </c>
      <c r="D40" s="8" t="s">
        <v>178</v>
      </c>
      <c r="E40" s="8"/>
      <c r="F40" s="9">
        <f>F41</f>
        <v>528.80000000000007</v>
      </c>
      <c r="G40" s="9">
        <f>G41</f>
        <v>528.80000000000007</v>
      </c>
      <c r="H40" s="9">
        <f>H41</f>
        <v>528.80000000000007</v>
      </c>
    </row>
    <row r="41" spans="1:8" s="27" customFormat="1" ht="51" x14ac:dyDescent="0.2">
      <c r="A41" s="23" t="s">
        <v>9</v>
      </c>
      <c r="B41" s="24" t="s">
        <v>25</v>
      </c>
      <c r="C41" s="24" t="s">
        <v>56</v>
      </c>
      <c r="D41" s="24" t="s">
        <v>178</v>
      </c>
      <c r="E41" s="25" t="s">
        <v>10</v>
      </c>
      <c r="F41" s="26">
        <f>406.1+122.7</f>
        <v>528.80000000000007</v>
      </c>
      <c r="G41" s="26">
        <f t="shared" ref="G41:H41" si="5">406.1+122.7</f>
        <v>528.80000000000007</v>
      </c>
      <c r="H41" s="26">
        <f t="shared" si="5"/>
        <v>528.80000000000007</v>
      </c>
    </row>
    <row r="42" spans="1:8" x14ac:dyDescent="0.2">
      <c r="A42" s="14" t="s">
        <v>36</v>
      </c>
      <c r="B42" s="11" t="s">
        <v>25</v>
      </c>
      <c r="C42" s="11" t="s">
        <v>35</v>
      </c>
      <c r="D42" s="11"/>
      <c r="E42" s="11"/>
      <c r="F42" s="12">
        <f t="shared" ref="F42:H43" si="6">F43</f>
        <v>1024.8</v>
      </c>
      <c r="G42" s="12">
        <f t="shared" si="6"/>
        <v>1024.8</v>
      </c>
      <c r="H42" s="12">
        <f t="shared" si="6"/>
        <v>1024.8</v>
      </c>
    </row>
    <row r="43" spans="1:8" s="27" customFormat="1" ht="51" x14ac:dyDescent="0.2">
      <c r="A43" s="10" t="s">
        <v>74</v>
      </c>
      <c r="B43" s="8" t="s">
        <v>25</v>
      </c>
      <c r="C43" s="8" t="s">
        <v>35</v>
      </c>
      <c r="D43" s="8" t="s">
        <v>183</v>
      </c>
      <c r="E43" s="8"/>
      <c r="F43" s="9">
        <f t="shared" si="6"/>
        <v>1024.8</v>
      </c>
      <c r="G43" s="9">
        <f t="shared" si="6"/>
        <v>1024.8</v>
      </c>
      <c r="H43" s="9">
        <f t="shared" si="6"/>
        <v>1024.8</v>
      </c>
    </row>
    <row r="44" spans="1:8" x14ac:dyDescent="0.2">
      <c r="A44" s="28" t="s">
        <v>16</v>
      </c>
      <c r="B44" s="24" t="s">
        <v>25</v>
      </c>
      <c r="C44" s="24" t="s">
        <v>35</v>
      </c>
      <c r="D44" s="24" t="s">
        <v>183</v>
      </c>
      <c r="E44" s="24" t="s">
        <v>17</v>
      </c>
      <c r="F44" s="26">
        <f>1024.8</f>
        <v>1024.8</v>
      </c>
      <c r="G44" s="26">
        <f t="shared" ref="G44:H44" si="7">1024.8</f>
        <v>1024.8</v>
      </c>
      <c r="H44" s="26">
        <f t="shared" si="7"/>
        <v>1024.8</v>
      </c>
    </row>
    <row r="45" spans="1:8" s="27" customFormat="1" x14ac:dyDescent="0.2">
      <c r="A45" s="14" t="s">
        <v>38</v>
      </c>
      <c r="B45" s="11" t="s">
        <v>25</v>
      </c>
      <c r="C45" s="11" t="s">
        <v>67</v>
      </c>
      <c r="D45" s="11"/>
      <c r="E45" s="11"/>
      <c r="F45" s="12">
        <f>F46+F52+F54+F56+F58+F60+F62+F64+F68+F71+F73+F76+F80+F66+F83+F48+F50</f>
        <v>36321.700000000004</v>
      </c>
      <c r="G45" s="12">
        <f t="shared" ref="G45:H45" si="8">G46+G52+G54+G56+G58+G60+G62+G64+G68+G71+G73+G76+G80+G66+G83+G48+G50</f>
        <v>35167.700000000004</v>
      </c>
      <c r="H45" s="12">
        <f t="shared" si="8"/>
        <v>35167.700000000004</v>
      </c>
    </row>
    <row r="46" spans="1:8" s="27" customFormat="1" x14ac:dyDescent="0.2">
      <c r="A46" s="10" t="s">
        <v>185</v>
      </c>
      <c r="B46" s="8" t="s">
        <v>25</v>
      </c>
      <c r="C46" s="8" t="s">
        <v>67</v>
      </c>
      <c r="D46" s="8" t="s">
        <v>186</v>
      </c>
      <c r="E46" s="8"/>
      <c r="F46" s="9">
        <f>F47</f>
        <v>11161.7</v>
      </c>
      <c r="G46" s="9">
        <f>G47</f>
        <v>11161.7</v>
      </c>
      <c r="H46" s="9">
        <f>H47</f>
        <v>11161.7</v>
      </c>
    </row>
    <row r="47" spans="1:8" s="27" customFormat="1" ht="25.5" x14ac:dyDescent="0.2">
      <c r="A47" s="28" t="s">
        <v>286</v>
      </c>
      <c r="B47" s="24" t="s">
        <v>25</v>
      </c>
      <c r="C47" s="24" t="s">
        <v>67</v>
      </c>
      <c r="D47" s="24" t="s">
        <v>186</v>
      </c>
      <c r="E47" s="24" t="s">
        <v>8</v>
      </c>
      <c r="F47" s="26">
        <f>10957.1+204.6</f>
        <v>11161.7</v>
      </c>
      <c r="G47" s="26">
        <f t="shared" ref="G47:H47" si="9">10957.1+204.6</f>
        <v>11161.7</v>
      </c>
      <c r="H47" s="26">
        <f t="shared" si="9"/>
        <v>11161.7</v>
      </c>
    </row>
    <row r="48" spans="1:8" ht="25.5" x14ac:dyDescent="0.2">
      <c r="A48" s="5" t="s">
        <v>219</v>
      </c>
      <c r="B48" s="8" t="s">
        <v>25</v>
      </c>
      <c r="C48" s="8" t="s">
        <v>67</v>
      </c>
      <c r="D48" s="8" t="s">
        <v>218</v>
      </c>
      <c r="E48" s="1"/>
      <c r="F48" s="2">
        <f>F49</f>
        <v>108.3</v>
      </c>
      <c r="G48" s="2">
        <f>G49</f>
        <v>108.3</v>
      </c>
      <c r="H48" s="2">
        <f>H49</f>
        <v>108.3</v>
      </c>
    </row>
    <row r="49" spans="1:11" ht="25.5" x14ac:dyDescent="0.2">
      <c r="A49" s="28" t="s">
        <v>286</v>
      </c>
      <c r="B49" s="24" t="s">
        <v>25</v>
      </c>
      <c r="C49" s="24" t="s">
        <v>67</v>
      </c>
      <c r="D49" s="8" t="s">
        <v>218</v>
      </c>
      <c r="E49" s="24" t="s">
        <v>8</v>
      </c>
      <c r="F49" s="26">
        <f>67+41.3</f>
        <v>108.3</v>
      </c>
      <c r="G49" s="26">
        <f>67+41.3</f>
        <v>108.3</v>
      </c>
      <c r="H49" s="26">
        <f>67+41.3</f>
        <v>108.3</v>
      </c>
    </row>
    <row r="50" spans="1:11" x14ac:dyDescent="0.2">
      <c r="A50" s="10" t="s">
        <v>273</v>
      </c>
      <c r="B50" s="8" t="s">
        <v>25</v>
      </c>
      <c r="C50" s="8" t="s">
        <v>67</v>
      </c>
      <c r="D50" s="8" t="s">
        <v>272</v>
      </c>
      <c r="E50" s="8"/>
      <c r="F50" s="9">
        <f>F51</f>
        <v>1153.9000000000001</v>
      </c>
      <c r="G50" s="9">
        <f t="shared" ref="G50:H50" si="10">G51</f>
        <v>0</v>
      </c>
      <c r="H50" s="9">
        <f t="shared" si="10"/>
        <v>0</v>
      </c>
    </row>
    <row r="51" spans="1:11" ht="25.5" x14ac:dyDescent="0.2">
      <c r="A51" s="28" t="s">
        <v>78</v>
      </c>
      <c r="B51" s="24" t="s">
        <v>25</v>
      </c>
      <c r="C51" s="24" t="s">
        <v>67</v>
      </c>
      <c r="D51" s="8" t="s">
        <v>272</v>
      </c>
      <c r="E51" s="24" t="s">
        <v>15</v>
      </c>
      <c r="F51" s="26">
        <v>1153.9000000000001</v>
      </c>
      <c r="G51" s="26">
        <v>0</v>
      </c>
      <c r="H51" s="26">
        <v>0</v>
      </c>
    </row>
    <row r="52" spans="1:11" ht="38.25" x14ac:dyDescent="0.2">
      <c r="A52" s="10" t="s">
        <v>187</v>
      </c>
      <c r="B52" s="8" t="s">
        <v>25</v>
      </c>
      <c r="C52" s="8" t="s">
        <v>67</v>
      </c>
      <c r="D52" s="8" t="s">
        <v>88</v>
      </c>
      <c r="E52" s="8"/>
      <c r="F52" s="9">
        <f>F53</f>
        <v>120</v>
      </c>
      <c r="G52" s="9">
        <f>G53</f>
        <v>120</v>
      </c>
      <c r="H52" s="9">
        <f>H53</f>
        <v>120</v>
      </c>
    </row>
    <row r="53" spans="1:11" s="27" customFormat="1" ht="25.5" x14ac:dyDescent="0.2">
      <c r="A53" s="28" t="s">
        <v>286</v>
      </c>
      <c r="B53" s="24" t="s">
        <v>25</v>
      </c>
      <c r="C53" s="24" t="s">
        <v>67</v>
      </c>
      <c r="D53" s="24" t="s">
        <v>88</v>
      </c>
      <c r="E53" s="24" t="s">
        <v>8</v>
      </c>
      <c r="F53" s="26">
        <f>120</f>
        <v>120</v>
      </c>
      <c r="G53" s="26">
        <f>120</f>
        <v>120</v>
      </c>
      <c r="H53" s="26">
        <f>120</f>
        <v>120</v>
      </c>
    </row>
    <row r="54" spans="1:11" s="27" customFormat="1" ht="25.5" x14ac:dyDescent="0.2">
      <c r="A54" s="48" t="s">
        <v>188</v>
      </c>
      <c r="B54" s="6" t="s">
        <v>25</v>
      </c>
      <c r="C54" s="8" t="s">
        <v>67</v>
      </c>
      <c r="D54" s="1" t="s">
        <v>189</v>
      </c>
      <c r="E54" s="1"/>
      <c r="F54" s="2">
        <f>F55</f>
        <v>2888.2</v>
      </c>
      <c r="G54" s="2">
        <f>G55</f>
        <v>2888.2</v>
      </c>
      <c r="H54" s="2">
        <f>H55</f>
        <v>2888.2</v>
      </c>
    </row>
    <row r="55" spans="1:11" s="27" customFormat="1" ht="25.5" x14ac:dyDescent="0.2">
      <c r="A55" s="28" t="s">
        <v>286</v>
      </c>
      <c r="B55" s="24" t="s">
        <v>25</v>
      </c>
      <c r="C55" s="24" t="s">
        <v>67</v>
      </c>
      <c r="D55" s="24" t="s">
        <v>189</v>
      </c>
      <c r="E55" s="24" t="s">
        <v>8</v>
      </c>
      <c r="F55" s="26">
        <v>2888.2</v>
      </c>
      <c r="G55" s="26">
        <v>2888.2</v>
      </c>
      <c r="H55" s="26">
        <v>2888.2</v>
      </c>
      <c r="I55" s="13"/>
      <c r="J55" s="13"/>
      <c r="K55" s="13"/>
    </row>
    <row r="56" spans="1:11" ht="25.5" x14ac:dyDescent="0.2">
      <c r="A56" s="5" t="s">
        <v>191</v>
      </c>
      <c r="B56" s="8" t="s">
        <v>25</v>
      </c>
      <c r="C56" s="8" t="s">
        <v>67</v>
      </c>
      <c r="D56" s="8" t="s">
        <v>190</v>
      </c>
      <c r="E56" s="8"/>
      <c r="F56" s="9">
        <f>F57</f>
        <v>720</v>
      </c>
      <c r="G56" s="9">
        <f>G57</f>
        <v>720</v>
      </c>
      <c r="H56" s="9">
        <f>H57</f>
        <v>720</v>
      </c>
    </row>
    <row r="57" spans="1:11" s="27" customFormat="1" x14ac:dyDescent="0.2">
      <c r="A57" s="28" t="s">
        <v>13</v>
      </c>
      <c r="B57" s="24" t="s">
        <v>25</v>
      </c>
      <c r="C57" s="24" t="s">
        <v>67</v>
      </c>
      <c r="D57" s="24" t="s">
        <v>190</v>
      </c>
      <c r="E57" s="24" t="s">
        <v>14</v>
      </c>
      <c r="F57" s="26">
        <f>720</f>
        <v>720</v>
      </c>
      <c r="G57" s="26">
        <f>720</f>
        <v>720</v>
      </c>
      <c r="H57" s="26">
        <f>720</f>
        <v>720</v>
      </c>
      <c r="I57" s="13"/>
      <c r="J57" s="13"/>
      <c r="K57" s="13"/>
    </row>
    <row r="58" spans="1:11" x14ac:dyDescent="0.2">
      <c r="A58" s="10" t="s">
        <v>193</v>
      </c>
      <c r="B58" s="8" t="s">
        <v>25</v>
      </c>
      <c r="C58" s="8" t="s">
        <v>67</v>
      </c>
      <c r="D58" s="8" t="s">
        <v>192</v>
      </c>
      <c r="E58" s="8"/>
      <c r="F58" s="9">
        <f>F59</f>
        <v>1720.7</v>
      </c>
      <c r="G58" s="9">
        <f>G59</f>
        <v>1720.7</v>
      </c>
      <c r="H58" s="9">
        <f>H59</f>
        <v>1720.7</v>
      </c>
    </row>
    <row r="59" spans="1:11" s="27" customFormat="1" x14ac:dyDescent="0.2">
      <c r="A59" s="28" t="s">
        <v>13</v>
      </c>
      <c r="B59" s="24" t="s">
        <v>25</v>
      </c>
      <c r="C59" s="24" t="s">
        <v>67</v>
      </c>
      <c r="D59" s="24" t="s">
        <v>192</v>
      </c>
      <c r="E59" s="24" t="s">
        <v>14</v>
      </c>
      <c r="F59" s="26">
        <f>123.8+1596.9</f>
        <v>1720.7</v>
      </c>
      <c r="G59" s="26">
        <f>73.5+1647.2</f>
        <v>1720.7</v>
      </c>
      <c r="H59" s="26">
        <f>73.5+1647.2</f>
        <v>1720.7</v>
      </c>
      <c r="I59" s="13"/>
      <c r="J59" s="13"/>
      <c r="K59" s="13"/>
    </row>
    <row r="60" spans="1:11" s="4" customFormat="1" x14ac:dyDescent="0.2">
      <c r="A60" s="10" t="s">
        <v>195</v>
      </c>
      <c r="B60" s="8" t="s">
        <v>25</v>
      </c>
      <c r="C60" s="8" t="s">
        <v>67</v>
      </c>
      <c r="D60" s="8" t="s">
        <v>194</v>
      </c>
      <c r="E60" s="8"/>
      <c r="F60" s="9">
        <f>F61</f>
        <v>4910.8</v>
      </c>
      <c r="G60" s="9">
        <f>G61</f>
        <v>4910.7</v>
      </c>
      <c r="H60" s="9">
        <f>H61</f>
        <v>4910.7</v>
      </c>
    </row>
    <row r="61" spans="1:11" s="3" customFormat="1" x14ac:dyDescent="0.2">
      <c r="A61" s="28" t="s">
        <v>16</v>
      </c>
      <c r="B61" s="24" t="s">
        <v>25</v>
      </c>
      <c r="C61" s="24" t="s">
        <v>67</v>
      </c>
      <c r="D61" s="24" t="s">
        <v>194</v>
      </c>
      <c r="E61" s="24" t="s">
        <v>17</v>
      </c>
      <c r="F61" s="26">
        <f>4910.7+0.1</f>
        <v>4910.8</v>
      </c>
      <c r="G61" s="26">
        <f t="shared" ref="G61:H61" si="11">4910.7</f>
        <v>4910.7</v>
      </c>
      <c r="H61" s="26">
        <f t="shared" si="11"/>
        <v>4910.7</v>
      </c>
    </row>
    <row r="62" spans="1:11" s="3" customFormat="1" ht="52.5" customHeight="1" x14ac:dyDescent="0.2">
      <c r="A62" s="10" t="s">
        <v>196</v>
      </c>
      <c r="B62" s="8" t="s">
        <v>25</v>
      </c>
      <c r="C62" s="8" t="s">
        <v>67</v>
      </c>
      <c r="D62" s="1" t="s">
        <v>197</v>
      </c>
      <c r="E62" s="1"/>
      <c r="F62" s="2">
        <f>F63</f>
        <v>700</v>
      </c>
      <c r="G62" s="2">
        <f>G63</f>
        <v>700</v>
      </c>
      <c r="H62" s="2">
        <f>H63</f>
        <v>700</v>
      </c>
    </row>
    <row r="63" spans="1:11" s="3" customFormat="1" ht="25.5" x14ac:dyDescent="0.2">
      <c r="A63" s="28" t="s">
        <v>20</v>
      </c>
      <c r="B63" s="24" t="s">
        <v>25</v>
      </c>
      <c r="C63" s="24" t="s">
        <v>67</v>
      </c>
      <c r="D63" s="24" t="s">
        <v>197</v>
      </c>
      <c r="E63" s="25" t="s">
        <v>12</v>
      </c>
      <c r="F63" s="26">
        <v>700</v>
      </c>
      <c r="G63" s="26">
        <v>700</v>
      </c>
      <c r="H63" s="26">
        <v>700</v>
      </c>
    </row>
    <row r="64" spans="1:11" s="3" customFormat="1" x14ac:dyDescent="0.2">
      <c r="A64" s="10" t="s">
        <v>199</v>
      </c>
      <c r="B64" s="8" t="s">
        <v>25</v>
      </c>
      <c r="C64" s="8" t="s">
        <v>67</v>
      </c>
      <c r="D64" s="1" t="s">
        <v>198</v>
      </c>
      <c r="E64" s="1"/>
      <c r="F64" s="2">
        <f>F65</f>
        <v>1000</v>
      </c>
      <c r="G64" s="2">
        <f>G65</f>
        <v>1000</v>
      </c>
      <c r="H64" s="2">
        <f>H65</f>
        <v>1000</v>
      </c>
    </row>
    <row r="65" spans="1:11" s="3" customFormat="1" ht="25.5" x14ac:dyDescent="0.2">
      <c r="A65" s="28" t="s">
        <v>20</v>
      </c>
      <c r="B65" s="24" t="s">
        <v>25</v>
      </c>
      <c r="C65" s="24" t="s">
        <v>67</v>
      </c>
      <c r="D65" s="24" t="s">
        <v>198</v>
      </c>
      <c r="E65" s="25" t="s">
        <v>12</v>
      </c>
      <c r="F65" s="26">
        <v>1000</v>
      </c>
      <c r="G65" s="26">
        <v>1000</v>
      </c>
      <c r="H65" s="26">
        <v>1000</v>
      </c>
    </row>
    <row r="66" spans="1:11" s="3" customFormat="1" ht="25.5" x14ac:dyDescent="0.2">
      <c r="A66" s="10" t="s">
        <v>201</v>
      </c>
      <c r="B66" s="8" t="s">
        <v>25</v>
      </c>
      <c r="C66" s="8" t="s">
        <v>67</v>
      </c>
      <c r="D66" s="8" t="s">
        <v>200</v>
      </c>
      <c r="E66" s="8"/>
      <c r="F66" s="9">
        <f>F67</f>
        <v>451</v>
      </c>
      <c r="G66" s="9">
        <f>G67</f>
        <v>451</v>
      </c>
      <c r="H66" s="9">
        <f>H67</f>
        <v>451</v>
      </c>
    </row>
    <row r="67" spans="1:11" s="4" customFormat="1" ht="25.5" x14ac:dyDescent="0.2">
      <c r="A67" s="28" t="s">
        <v>20</v>
      </c>
      <c r="B67" s="24" t="s">
        <v>25</v>
      </c>
      <c r="C67" s="24" t="s">
        <v>67</v>
      </c>
      <c r="D67" s="24" t="s">
        <v>200</v>
      </c>
      <c r="E67" s="25" t="s">
        <v>12</v>
      </c>
      <c r="F67" s="26">
        <v>451</v>
      </c>
      <c r="G67" s="26">
        <v>451</v>
      </c>
      <c r="H67" s="26">
        <v>451</v>
      </c>
    </row>
    <row r="68" spans="1:11" s="7" customFormat="1" x14ac:dyDescent="0.2">
      <c r="A68" s="10" t="s">
        <v>203</v>
      </c>
      <c r="B68" s="8" t="s">
        <v>25</v>
      </c>
      <c r="C68" s="8" t="s">
        <v>67</v>
      </c>
      <c r="D68" s="1" t="s">
        <v>202</v>
      </c>
      <c r="E68" s="1"/>
      <c r="F68" s="2">
        <f>F70+F69</f>
        <v>150</v>
      </c>
      <c r="G68" s="2">
        <f t="shared" ref="G68:H68" si="12">G70+G69</f>
        <v>150</v>
      </c>
      <c r="H68" s="2">
        <f t="shared" si="12"/>
        <v>150</v>
      </c>
    </row>
    <row r="69" spans="1:11" s="27" customFormat="1" ht="25.5" x14ac:dyDescent="0.2">
      <c r="A69" s="28" t="s">
        <v>20</v>
      </c>
      <c r="B69" s="24" t="s">
        <v>25</v>
      </c>
      <c r="C69" s="24" t="s">
        <v>67</v>
      </c>
      <c r="D69" s="24" t="s">
        <v>202</v>
      </c>
      <c r="E69" s="25" t="s">
        <v>12</v>
      </c>
      <c r="F69" s="26">
        <v>50</v>
      </c>
      <c r="G69" s="26">
        <v>50</v>
      </c>
      <c r="H69" s="26">
        <v>50</v>
      </c>
    </row>
    <row r="70" spans="1:11" s="27" customFormat="1" x14ac:dyDescent="0.2">
      <c r="A70" s="28" t="s">
        <v>16</v>
      </c>
      <c r="B70" s="24" t="s">
        <v>25</v>
      </c>
      <c r="C70" s="24" t="s">
        <v>67</v>
      </c>
      <c r="D70" s="24" t="s">
        <v>202</v>
      </c>
      <c r="E70" s="25" t="s">
        <v>17</v>
      </c>
      <c r="F70" s="26">
        <v>100</v>
      </c>
      <c r="G70" s="26">
        <v>100</v>
      </c>
      <c r="H70" s="26">
        <v>100</v>
      </c>
    </row>
    <row r="71" spans="1:11" s="7" customFormat="1" x14ac:dyDescent="0.2">
      <c r="A71" s="10" t="s">
        <v>204</v>
      </c>
      <c r="B71" s="8" t="s">
        <v>25</v>
      </c>
      <c r="C71" s="8" t="s">
        <v>67</v>
      </c>
      <c r="D71" s="1" t="s">
        <v>205</v>
      </c>
      <c r="E71" s="1"/>
      <c r="F71" s="2">
        <f>F72</f>
        <v>500</v>
      </c>
      <c r="G71" s="2">
        <f>G72</f>
        <v>500</v>
      </c>
      <c r="H71" s="2">
        <f>H72</f>
        <v>500</v>
      </c>
    </row>
    <row r="72" spans="1:11" s="27" customFormat="1" ht="25.5" x14ac:dyDescent="0.2">
      <c r="A72" s="28" t="s">
        <v>20</v>
      </c>
      <c r="B72" s="24" t="s">
        <v>25</v>
      </c>
      <c r="C72" s="24" t="s">
        <v>67</v>
      </c>
      <c r="D72" s="24" t="s">
        <v>205</v>
      </c>
      <c r="E72" s="25" t="s">
        <v>12</v>
      </c>
      <c r="F72" s="26">
        <v>500</v>
      </c>
      <c r="G72" s="26">
        <v>500</v>
      </c>
      <c r="H72" s="26">
        <v>500</v>
      </c>
    </row>
    <row r="73" spans="1:11" s="21" customFormat="1" ht="15" x14ac:dyDescent="0.2">
      <c r="A73" s="10" t="s">
        <v>206</v>
      </c>
      <c r="B73" s="8" t="s">
        <v>25</v>
      </c>
      <c r="C73" s="8" t="s">
        <v>67</v>
      </c>
      <c r="D73" s="1" t="s">
        <v>207</v>
      </c>
      <c r="E73" s="1"/>
      <c r="F73" s="2">
        <f>F74+F75</f>
        <v>903</v>
      </c>
      <c r="G73" s="2">
        <f>G74+G75</f>
        <v>903</v>
      </c>
      <c r="H73" s="2">
        <f>H74+H75</f>
        <v>903</v>
      </c>
    </row>
    <row r="74" spans="1:11" s="27" customFormat="1" ht="25.5" x14ac:dyDescent="0.2">
      <c r="A74" s="28" t="s">
        <v>20</v>
      </c>
      <c r="B74" s="24" t="s">
        <v>25</v>
      </c>
      <c r="C74" s="24" t="s">
        <v>67</v>
      </c>
      <c r="D74" s="24" t="s">
        <v>207</v>
      </c>
      <c r="E74" s="25" t="s">
        <v>12</v>
      </c>
      <c r="F74" s="26">
        <v>50</v>
      </c>
      <c r="G74" s="26">
        <v>50</v>
      </c>
      <c r="H74" s="26">
        <v>50</v>
      </c>
    </row>
    <row r="75" spans="1:11" s="4" customFormat="1" x14ac:dyDescent="0.2">
      <c r="A75" s="28" t="s">
        <v>16</v>
      </c>
      <c r="B75" s="8" t="s">
        <v>25</v>
      </c>
      <c r="C75" s="8" t="s">
        <v>67</v>
      </c>
      <c r="D75" s="24" t="s">
        <v>207</v>
      </c>
      <c r="E75" s="24" t="s">
        <v>17</v>
      </c>
      <c r="F75" s="26">
        <v>853</v>
      </c>
      <c r="G75" s="26">
        <v>853</v>
      </c>
      <c r="H75" s="26">
        <v>853</v>
      </c>
    </row>
    <row r="76" spans="1:11" ht="25.5" x14ac:dyDescent="0.2">
      <c r="A76" s="10" t="s">
        <v>208</v>
      </c>
      <c r="B76" s="8" t="s">
        <v>25</v>
      </c>
      <c r="C76" s="8" t="s">
        <v>67</v>
      </c>
      <c r="D76" s="1" t="s">
        <v>209</v>
      </c>
      <c r="E76" s="8"/>
      <c r="F76" s="9">
        <f>F77+F78+F79</f>
        <v>5010.1000000000004</v>
      </c>
      <c r="G76" s="9">
        <f>G77+G78+G79</f>
        <v>5010.1000000000004</v>
      </c>
      <c r="H76" s="9">
        <f>H77+H78+H79</f>
        <v>5010.1000000000004</v>
      </c>
    </row>
    <row r="77" spans="1:11" s="27" customFormat="1" ht="51" x14ac:dyDescent="0.2">
      <c r="A77" s="23" t="s">
        <v>9</v>
      </c>
      <c r="B77" s="24" t="s">
        <v>25</v>
      </c>
      <c r="C77" s="24" t="s">
        <v>67</v>
      </c>
      <c r="D77" s="24" t="s">
        <v>209</v>
      </c>
      <c r="E77" s="25" t="s">
        <v>10</v>
      </c>
      <c r="F77" s="26">
        <v>4565.3</v>
      </c>
      <c r="G77" s="26">
        <v>4565.3</v>
      </c>
      <c r="H77" s="26">
        <v>4565.3</v>
      </c>
      <c r="I77" s="13"/>
      <c r="J77" s="13"/>
      <c r="K77" s="13"/>
    </row>
    <row r="78" spans="1:11" s="27" customFormat="1" ht="25.5" x14ac:dyDescent="0.2">
      <c r="A78" s="28" t="s">
        <v>20</v>
      </c>
      <c r="B78" s="24" t="s">
        <v>25</v>
      </c>
      <c r="C78" s="24" t="s">
        <v>67</v>
      </c>
      <c r="D78" s="24" t="s">
        <v>209</v>
      </c>
      <c r="E78" s="25" t="s">
        <v>12</v>
      </c>
      <c r="F78" s="26">
        <v>434.8</v>
      </c>
      <c r="G78" s="26">
        <v>434.8</v>
      </c>
      <c r="H78" s="26">
        <v>434.8</v>
      </c>
    </row>
    <row r="79" spans="1:11" s="27" customFormat="1" x14ac:dyDescent="0.2">
      <c r="A79" s="28" t="s">
        <v>16</v>
      </c>
      <c r="B79" s="8" t="s">
        <v>25</v>
      </c>
      <c r="C79" s="8" t="s">
        <v>67</v>
      </c>
      <c r="D79" s="24" t="s">
        <v>209</v>
      </c>
      <c r="E79" s="24" t="s">
        <v>17</v>
      </c>
      <c r="F79" s="26">
        <v>10</v>
      </c>
      <c r="G79" s="26">
        <v>10</v>
      </c>
      <c r="H79" s="26">
        <v>10</v>
      </c>
    </row>
    <row r="80" spans="1:11" s="27" customFormat="1" ht="89.25" x14ac:dyDescent="0.2">
      <c r="A80" s="42" t="s">
        <v>212</v>
      </c>
      <c r="B80" s="8" t="s">
        <v>25</v>
      </c>
      <c r="C80" s="8" t="s">
        <v>67</v>
      </c>
      <c r="D80" s="8" t="s">
        <v>210</v>
      </c>
      <c r="E80" s="8"/>
      <c r="F80" s="9">
        <f>F81+F82</f>
        <v>4589.6000000000004</v>
      </c>
      <c r="G80" s="9">
        <f>G81+G82</f>
        <v>4589.6000000000004</v>
      </c>
      <c r="H80" s="9">
        <f>H81+H82</f>
        <v>4589.6000000000004</v>
      </c>
    </row>
    <row r="81" spans="1:8" s="27" customFormat="1" ht="51" x14ac:dyDescent="0.2">
      <c r="A81" s="23" t="s">
        <v>9</v>
      </c>
      <c r="B81" s="24" t="s">
        <v>25</v>
      </c>
      <c r="C81" s="24" t="s">
        <v>67</v>
      </c>
      <c r="D81" s="24" t="s">
        <v>210</v>
      </c>
      <c r="E81" s="25" t="s">
        <v>10</v>
      </c>
      <c r="F81" s="26">
        <f>3482.6+1051.7</f>
        <v>4534.3</v>
      </c>
      <c r="G81" s="26">
        <f t="shared" ref="G81:H81" si="13">3482.6+1051.7</f>
        <v>4534.3</v>
      </c>
      <c r="H81" s="26">
        <f t="shared" si="13"/>
        <v>4534.3</v>
      </c>
    </row>
    <row r="82" spans="1:8" ht="25.5" x14ac:dyDescent="0.2">
      <c r="A82" s="28" t="s">
        <v>20</v>
      </c>
      <c r="B82" s="24" t="s">
        <v>25</v>
      </c>
      <c r="C82" s="24" t="s">
        <v>67</v>
      </c>
      <c r="D82" s="24" t="s">
        <v>210</v>
      </c>
      <c r="E82" s="25" t="s">
        <v>12</v>
      </c>
      <c r="F82" s="26">
        <f>55.3</f>
        <v>55.3</v>
      </c>
      <c r="G82" s="26">
        <f t="shared" ref="G82:H82" si="14">55.3</f>
        <v>55.3</v>
      </c>
      <c r="H82" s="26">
        <f t="shared" si="14"/>
        <v>55.3</v>
      </c>
    </row>
    <row r="83" spans="1:8" s="27" customFormat="1" ht="51" x14ac:dyDescent="0.2">
      <c r="A83" s="42" t="s">
        <v>213</v>
      </c>
      <c r="B83" s="8" t="s">
        <v>25</v>
      </c>
      <c r="C83" s="8" t="s">
        <v>67</v>
      </c>
      <c r="D83" s="8" t="s">
        <v>211</v>
      </c>
      <c r="E83" s="8"/>
      <c r="F83" s="9">
        <f>F84</f>
        <v>234.4</v>
      </c>
      <c r="G83" s="9">
        <f>G84</f>
        <v>234.4</v>
      </c>
      <c r="H83" s="9">
        <f>H84</f>
        <v>234.4</v>
      </c>
    </row>
    <row r="84" spans="1:8" ht="25.5" x14ac:dyDescent="0.2">
      <c r="A84" s="28" t="s">
        <v>20</v>
      </c>
      <c r="B84" s="24" t="s">
        <v>25</v>
      </c>
      <c r="C84" s="24" t="s">
        <v>67</v>
      </c>
      <c r="D84" s="24" t="s">
        <v>211</v>
      </c>
      <c r="E84" s="25" t="s">
        <v>12</v>
      </c>
      <c r="F84" s="26">
        <f>234.4</f>
        <v>234.4</v>
      </c>
      <c r="G84" s="26">
        <f t="shared" ref="G84:H84" si="15">234.4</f>
        <v>234.4</v>
      </c>
      <c r="H84" s="26">
        <f t="shared" si="15"/>
        <v>234.4</v>
      </c>
    </row>
    <row r="85" spans="1:8" s="27" customFormat="1" ht="31.5" x14ac:dyDescent="0.25">
      <c r="A85" s="38" t="s">
        <v>5</v>
      </c>
      <c r="B85" s="36" t="s">
        <v>30</v>
      </c>
      <c r="C85" s="36" t="s">
        <v>26</v>
      </c>
      <c r="D85" s="36"/>
      <c r="E85" s="36"/>
      <c r="F85" s="37">
        <f>F86</f>
        <v>4159.3999999999996</v>
      </c>
      <c r="G85" s="37">
        <f t="shared" ref="G85:H85" si="16">G86</f>
        <v>4159.3999999999996</v>
      </c>
      <c r="H85" s="37">
        <f t="shared" si="16"/>
        <v>4159.3999999999996</v>
      </c>
    </row>
    <row r="86" spans="1:8" s="27" customFormat="1" ht="38.25" x14ac:dyDescent="0.2">
      <c r="A86" s="14" t="s">
        <v>21</v>
      </c>
      <c r="B86" s="49" t="s">
        <v>30</v>
      </c>
      <c r="C86" s="11" t="s">
        <v>39</v>
      </c>
      <c r="D86" s="11"/>
      <c r="E86" s="11"/>
      <c r="F86" s="12">
        <f>F91+F87+F93+F95+F97</f>
        <v>4159.3999999999996</v>
      </c>
      <c r="G86" s="12">
        <f>G91+G87+G93+G95+G97</f>
        <v>4159.3999999999996</v>
      </c>
      <c r="H86" s="12">
        <f>H91+H87+H93+H95+H97</f>
        <v>4159.3999999999996</v>
      </c>
    </row>
    <row r="87" spans="1:8" s="27" customFormat="1" ht="38.25" x14ac:dyDescent="0.2">
      <c r="A87" s="42" t="s">
        <v>214</v>
      </c>
      <c r="B87" s="8" t="s">
        <v>30</v>
      </c>
      <c r="C87" s="8" t="s">
        <v>39</v>
      </c>
      <c r="D87" s="8" t="s">
        <v>215</v>
      </c>
      <c r="E87" s="8"/>
      <c r="F87" s="9">
        <f>F88+F89+F90</f>
        <v>2509</v>
      </c>
      <c r="G87" s="9">
        <f>G88+G89+G90</f>
        <v>2509</v>
      </c>
      <c r="H87" s="9">
        <f>H88+H89+H90</f>
        <v>2509</v>
      </c>
    </row>
    <row r="88" spans="1:8" ht="51" x14ac:dyDescent="0.2">
      <c r="A88" s="23" t="s">
        <v>9</v>
      </c>
      <c r="B88" s="24" t="s">
        <v>30</v>
      </c>
      <c r="C88" s="24" t="s">
        <v>39</v>
      </c>
      <c r="D88" s="24" t="s">
        <v>215</v>
      </c>
      <c r="E88" s="25" t="s">
        <v>10</v>
      </c>
      <c r="F88" s="26">
        <f>2118.5</f>
        <v>2118.5</v>
      </c>
      <c r="G88" s="26">
        <f t="shared" ref="G88:H88" si="17">2118.5</f>
        <v>2118.5</v>
      </c>
      <c r="H88" s="26">
        <f t="shared" si="17"/>
        <v>2118.5</v>
      </c>
    </row>
    <row r="89" spans="1:8" s="27" customFormat="1" ht="25.5" x14ac:dyDescent="0.2">
      <c r="A89" s="28" t="s">
        <v>20</v>
      </c>
      <c r="B89" s="24" t="s">
        <v>30</v>
      </c>
      <c r="C89" s="24" t="s">
        <v>39</v>
      </c>
      <c r="D89" s="24" t="s">
        <v>215</v>
      </c>
      <c r="E89" s="25" t="s">
        <v>12</v>
      </c>
      <c r="F89" s="26">
        <v>386.6</v>
      </c>
      <c r="G89" s="26">
        <v>386.6</v>
      </c>
      <c r="H89" s="26">
        <v>386.6</v>
      </c>
    </row>
    <row r="90" spans="1:8" s="4" customFormat="1" x14ac:dyDescent="0.2">
      <c r="A90" s="28" t="s">
        <v>16</v>
      </c>
      <c r="B90" s="24" t="s">
        <v>30</v>
      </c>
      <c r="C90" s="24" t="s">
        <v>39</v>
      </c>
      <c r="D90" s="24" t="s">
        <v>215</v>
      </c>
      <c r="E90" s="24" t="s">
        <v>17</v>
      </c>
      <c r="F90" s="26">
        <v>3.9</v>
      </c>
      <c r="G90" s="26">
        <v>3.9</v>
      </c>
      <c r="H90" s="26">
        <v>3.9</v>
      </c>
    </row>
    <row r="91" spans="1:8" s="27" customFormat="1" x14ac:dyDescent="0.2">
      <c r="A91" s="55" t="s">
        <v>448</v>
      </c>
      <c r="B91" s="8" t="s">
        <v>30</v>
      </c>
      <c r="C91" s="8" t="s">
        <v>39</v>
      </c>
      <c r="D91" s="8" t="s">
        <v>447</v>
      </c>
      <c r="E91" s="8"/>
      <c r="F91" s="9">
        <f>F92</f>
        <v>1529.4</v>
      </c>
      <c r="G91" s="9">
        <f>G92</f>
        <v>1529.4</v>
      </c>
      <c r="H91" s="9">
        <f>H92</f>
        <v>1529.4</v>
      </c>
    </row>
    <row r="92" spans="1:8" s="27" customFormat="1" ht="25.5" x14ac:dyDescent="0.2">
      <c r="A92" s="28" t="s">
        <v>286</v>
      </c>
      <c r="B92" s="24" t="s">
        <v>30</v>
      </c>
      <c r="C92" s="24" t="s">
        <v>39</v>
      </c>
      <c r="D92" s="24" t="s">
        <v>447</v>
      </c>
      <c r="E92" s="25" t="s">
        <v>8</v>
      </c>
      <c r="F92" s="26">
        <f>1529.4</f>
        <v>1529.4</v>
      </c>
      <c r="G92" s="26">
        <f t="shared" ref="G92:H92" si="18">1529.4</f>
        <v>1529.4</v>
      </c>
      <c r="H92" s="26">
        <f t="shared" si="18"/>
        <v>1529.4</v>
      </c>
    </row>
    <row r="93" spans="1:8" ht="25.5" x14ac:dyDescent="0.2">
      <c r="A93" s="5" t="s">
        <v>219</v>
      </c>
      <c r="B93" s="8" t="s">
        <v>30</v>
      </c>
      <c r="C93" s="8" t="s">
        <v>39</v>
      </c>
      <c r="D93" s="8" t="s">
        <v>218</v>
      </c>
      <c r="E93" s="1"/>
      <c r="F93" s="2">
        <f>F94</f>
        <v>1</v>
      </c>
      <c r="G93" s="2">
        <f>G94</f>
        <v>1</v>
      </c>
      <c r="H93" s="2">
        <f>H94</f>
        <v>1</v>
      </c>
    </row>
    <row r="94" spans="1:8" s="4" customFormat="1" ht="25.5" x14ac:dyDescent="0.2">
      <c r="A94" s="28" t="s">
        <v>20</v>
      </c>
      <c r="B94" s="24" t="s">
        <v>30</v>
      </c>
      <c r="C94" s="24" t="s">
        <v>39</v>
      </c>
      <c r="D94" s="24" t="s">
        <v>218</v>
      </c>
      <c r="E94" s="25" t="s">
        <v>12</v>
      </c>
      <c r="F94" s="26">
        <v>1</v>
      </c>
      <c r="G94" s="26">
        <v>1</v>
      </c>
      <c r="H94" s="26">
        <v>1</v>
      </c>
    </row>
    <row r="95" spans="1:8" x14ac:dyDescent="0.2">
      <c r="A95" s="5" t="s">
        <v>221</v>
      </c>
      <c r="B95" s="8" t="s">
        <v>30</v>
      </c>
      <c r="C95" s="8" t="s">
        <v>39</v>
      </c>
      <c r="D95" s="8" t="s">
        <v>220</v>
      </c>
      <c r="E95" s="1"/>
      <c r="F95" s="2">
        <f>F96</f>
        <v>87</v>
      </c>
      <c r="G95" s="2">
        <f>G96</f>
        <v>87</v>
      </c>
      <c r="H95" s="2">
        <f>H96</f>
        <v>87</v>
      </c>
    </row>
    <row r="96" spans="1:8" s="27" customFormat="1" ht="25.5" x14ac:dyDescent="0.2">
      <c r="A96" s="28" t="s">
        <v>20</v>
      </c>
      <c r="B96" s="24" t="s">
        <v>30</v>
      </c>
      <c r="C96" s="24" t="s">
        <v>39</v>
      </c>
      <c r="D96" s="24" t="s">
        <v>220</v>
      </c>
      <c r="E96" s="25" t="s">
        <v>12</v>
      </c>
      <c r="F96" s="26">
        <v>87</v>
      </c>
      <c r="G96" s="26">
        <v>87</v>
      </c>
      <c r="H96" s="26">
        <v>87</v>
      </c>
    </row>
    <row r="97" spans="1:15" ht="25.5" x14ac:dyDescent="0.2">
      <c r="A97" s="5" t="s">
        <v>223</v>
      </c>
      <c r="B97" s="8" t="s">
        <v>30</v>
      </c>
      <c r="C97" s="8" t="s">
        <v>39</v>
      </c>
      <c r="D97" s="8" t="s">
        <v>222</v>
      </c>
      <c r="E97" s="1"/>
      <c r="F97" s="2">
        <f>F98</f>
        <v>33</v>
      </c>
      <c r="G97" s="2">
        <f>G98</f>
        <v>33</v>
      </c>
      <c r="H97" s="2">
        <f>H98</f>
        <v>33</v>
      </c>
    </row>
    <row r="98" spans="1:15" s="27" customFormat="1" x14ac:dyDescent="0.2">
      <c r="A98" s="28" t="s">
        <v>13</v>
      </c>
      <c r="B98" s="24" t="s">
        <v>30</v>
      </c>
      <c r="C98" s="24" t="s">
        <v>39</v>
      </c>
      <c r="D98" s="8" t="s">
        <v>222</v>
      </c>
      <c r="E98" s="25" t="s">
        <v>14</v>
      </c>
      <c r="F98" s="26">
        <v>33</v>
      </c>
      <c r="G98" s="26">
        <v>33</v>
      </c>
      <c r="H98" s="26">
        <v>33</v>
      </c>
    </row>
    <row r="99" spans="1:15" ht="15.75" x14ac:dyDescent="0.25">
      <c r="A99" s="38" t="s">
        <v>40</v>
      </c>
      <c r="B99" s="36" t="s">
        <v>32</v>
      </c>
      <c r="C99" s="36" t="s">
        <v>26</v>
      </c>
      <c r="D99" s="36"/>
      <c r="E99" s="36"/>
      <c r="F99" s="37">
        <f>F100+F105+F112</f>
        <v>482643.5</v>
      </c>
      <c r="G99" s="37">
        <f>G100+G105+G112</f>
        <v>316864.09999999998</v>
      </c>
      <c r="H99" s="37">
        <f>H100+H105+H112</f>
        <v>366085.00000000006</v>
      </c>
    </row>
    <row r="100" spans="1:15" s="4" customFormat="1" x14ac:dyDescent="0.2">
      <c r="A100" s="14" t="s">
        <v>41</v>
      </c>
      <c r="B100" s="11" t="s">
        <v>32</v>
      </c>
      <c r="C100" s="11" t="s">
        <v>28</v>
      </c>
      <c r="D100" s="11"/>
      <c r="E100" s="11"/>
      <c r="F100" s="12">
        <f>F101+F103</f>
        <v>398817.1</v>
      </c>
      <c r="G100" s="12">
        <f>G101+G103</f>
        <v>233037.69999999998</v>
      </c>
      <c r="H100" s="12">
        <f>H101+H103</f>
        <v>282258.60000000003</v>
      </c>
    </row>
    <row r="101" spans="1:15" ht="25.5" x14ac:dyDescent="0.2">
      <c r="A101" s="10" t="s">
        <v>224</v>
      </c>
      <c r="B101" s="8" t="s">
        <v>32</v>
      </c>
      <c r="C101" s="8" t="s">
        <v>28</v>
      </c>
      <c r="D101" s="8" t="s">
        <v>92</v>
      </c>
      <c r="E101" s="8"/>
      <c r="F101" s="9">
        <f>F102</f>
        <v>355565.8</v>
      </c>
      <c r="G101" s="9">
        <f>G102</f>
        <v>193848.3</v>
      </c>
      <c r="H101" s="9">
        <f>H102</f>
        <v>247540.7</v>
      </c>
    </row>
    <row r="102" spans="1:15" s="27" customFormat="1" x14ac:dyDescent="0.2">
      <c r="A102" s="28" t="s">
        <v>13</v>
      </c>
      <c r="B102" s="24" t="s">
        <v>32</v>
      </c>
      <c r="C102" s="24" t="s">
        <v>28</v>
      </c>
      <c r="D102" s="24" t="s">
        <v>92</v>
      </c>
      <c r="E102" s="24" t="s">
        <v>14</v>
      </c>
      <c r="F102" s="26">
        <v>355565.8</v>
      </c>
      <c r="G102" s="26">
        <v>193848.3</v>
      </c>
      <c r="H102" s="26">
        <v>247540.7</v>
      </c>
    </row>
    <row r="103" spans="1:15" s="27" customFormat="1" ht="38.25" x14ac:dyDescent="0.2">
      <c r="A103" s="10" t="s">
        <v>225</v>
      </c>
      <c r="B103" s="8" t="s">
        <v>32</v>
      </c>
      <c r="C103" s="8" t="s">
        <v>28</v>
      </c>
      <c r="D103" s="8" t="s">
        <v>226</v>
      </c>
      <c r="E103" s="8"/>
      <c r="F103" s="9">
        <f>F104</f>
        <v>43251.3</v>
      </c>
      <c r="G103" s="9">
        <f>G104</f>
        <v>39189.4</v>
      </c>
      <c r="H103" s="9">
        <f>H104</f>
        <v>34717.9</v>
      </c>
    </row>
    <row r="104" spans="1:15" s="27" customFormat="1" x14ac:dyDescent="0.2">
      <c r="A104" s="28" t="s">
        <v>16</v>
      </c>
      <c r="B104" s="24" t="s">
        <v>32</v>
      </c>
      <c r="C104" s="24" t="s">
        <v>28</v>
      </c>
      <c r="D104" s="24" t="s">
        <v>226</v>
      </c>
      <c r="E104" s="24" t="s">
        <v>17</v>
      </c>
      <c r="F104" s="26">
        <f>43251.3</f>
        <v>43251.3</v>
      </c>
      <c r="G104" s="26">
        <f>43251.3-4061.9</f>
        <v>39189.4</v>
      </c>
      <c r="H104" s="26">
        <f>43251.3-8533.4</f>
        <v>34717.9</v>
      </c>
    </row>
    <row r="105" spans="1:15" x14ac:dyDescent="0.2">
      <c r="A105" s="14" t="s">
        <v>71</v>
      </c>
      <c r="B105" s="11" t="s">
        <v>32</v>
      </c>
      <c r="C105" s="11" t="s">
        <v>39</v>
      </c>
      <c r="D105" s="11"/>
      <c r="E105" s="11"/>
      <c r="F105" s="12">
        <f>F106+F110+F108</f>
        <v>81955.5</v>
      </c>
      <c r="G105" s="12">
        <f>G106+G110+G108</f>
        <v>81955.5</v>
      </c>
      <c r="H105" s="12">
        <f>H106+H110+H108</f>
        <v>81955.5</v>
      </c>
    </row>
    <row r="106" spans="1:15" s="4" customFormat="1" ht="25.5" x14ac:dyDescent="0.2">
      <c r="A106" s="10" t="s">
        <v>227</v>
      </c>
      <c r="B106" s="8" t="s">
        <v>32</v>
      </c>
      <c r="C106" s="8" t="s">
        <v>39</v>
      </c>
      <c r="D106" s="8" t="s">
        <v>228</v>
      </c>
      <c r="E106" s="8"/>
      <c r="F106" s="9">
        <f>F107</f>
        <v>75347.199999999997</v>
      </c>
      <c r="G106" s="9">
        <f>G107</f>
        <v>75347.199999999997</v>
      </c>
      <c r="H106" s="9">
        <f>H107</f>
        <v>75347.199999999997</v>
      </c>
    </row>
    <row r="107" spans="1:15" ht="25.5" x14ac:dyDescent="0.2">
      <c r="A107" s="28" t="s">
        <v>286</v>
      </c>
      <c r="B107" s="24" t="s">
        <v>32</v>
      </c>
      <c r="C107" s="24" t="s">
        <v>39</v>
      </c>
      <c r="D107" s="24" t="s">
        <v>228</v>
      </c>
      <c r="E107" s="24" t="s">
        <v>8</v>
      </c>
      <c r="F107" s="26">
        <v>75347.199999999997</v>
      </c>
      <c r="G107" s="26">
        <v>75347.199999999997</v>
      </c>
      <c r="H107" s="26">
        <v>75347.199999999997</v>
      </c>
    </row>
    <row r="108" spans="1:15" ht="25.5" x14ac:dyDescent="0.2">
      <c r="A108" s="10" t="s">
        <v>229</v>
      </c>
      <c r="B108" s="8" t="s">
        <v>32</v>
      </c>
      <c r="C108" s="8" t="s">
        <v>39</v>
      </c>
      <c r="D108" s="8" t="s">
        <v>230</v>
      </c>
      <c r="E108" s="8"/>
      <c r="F108" s="9">
        <f>F109</f>
        <v>6117</v>
      </c>
      <c r="G108" s="9">
        <f>G109</f>
        <v>6117</v>
      </c>
      <c r="H108" s="9">
        <f>H109</f>
        <v>6117</v>
      </c>
    </row>
    <row r="109" spans="1:15" ht="25.5" x14ac:dyDescent="0.2">
      <c r="A109" s="28" t="s">
        <v>286</v>
      </c>
      <c r="B109" s="24" t="s">
        <v>32</v>
      </c>
      <c r="C109" s="24" t="s">
        <v>39</v>
      </c>
      <c r="D109" s="24" t="s">
        <v>230</v>
      </c>
      <c r="E109" s="24" t="s">
        <v>8</v>
      </c>
      <c r="F109" s="26">
        <v>6117</v>
      </c>
      <c r="G109" s="26">
        <v>6117</v>
      </c>
      <c r="H109" s="26">
        <v>6117</v>
      </c>
    </row>
    <row r="110" spans="1:15" ht="25.5" x14ac:dyDescent="0.2">
      <c r="A110" s="10" t="s">
        <v>231</v>
      </c>
      <c r="B110" s="8" t="s">
        <v>32</v>
      </c>
      <c r="C110" s="8" t="s">
        <v>39</v>
      </c>
      <c r="D110" s="8" t="s">
        <v>232</v>
      </c>
      <c r="E110" s="8"/>
      <c r="F110" s="9">
        <f>F111</f>
        <v>491.3</v>
      </c>
      <c r="G110" s="9">
        <f>G111</f>
        <v>491.3</v>
      </c>
      <c r="H110" s="9">
        <f>H111</f>
        <v>491.3</v>
      </c>
      <c r="N110" s="27"/>
      <c r="O110" s="27"/>
    </row>
    <row r="111" spans="1:15" s="27" customFormat="1" ht="25.5" x14ac:dyDescent="0.2">
      <c r="A111" s="28" t="s">
        <v>286</v>
      </c>
      <c r="B111" s="24" t="s">
        <v>32</v>
      </c>
      <c r="C111" s="24" t="s">
        <v>39</v>
      </c>
      <c r="D111" s="24" t="s">
        <v>232</v>
      </c>
      <c r="E111" s="24" t="s">
        <v>8</v>
      </c>
      <c r="F111" s="26">
        <v>491.3</v>
      </c>
      <c r="G111" s="26">
        <v>491.3</v>
      </c>
      <c r="H111" s="26">
        <v>491.3</v>
      </c>
      <c r="I111" s="13"/>
      <c r="J111" s="13"/>
      <c r="K111" s="13"/>
      <c r="L111" s="13"/>
      <c r="M111" s="13"/>
      <c r="N111" s="13"/>
      <c r="O111" s="13"/>
    </row>
    <row r="112" spans="1:15" s="27" customFormat="1" x14ac:dyDescent="0.2">
      <c r="A112" s="14" t="s">
        <v>42</v>
      </c>
      <c r="B112" s="11" t="s">
        <v>32</v>
      </c>
      <c r="C112" s="11" t="s">
        <v>37</v>
      </c>
      <c r="D112" s="11"/>
      <c r="E112" s="11"/>
      <c r="F112" s="12">
        <f>F115+F117+F119+F113</f>
        <v>1870.9</v>
      </c>
      <c r="G112" s="12">
        <f t="shared" ref="G112:H112" si="19">G115+G117+G119+G113</f>
        <v>1870.9</v>
      </c>
      <c r="H112" s="12">
        <f t="shared" si="19"/>
        <v>1870.9</v>
      </c>
    </row>
    <row r="113" spans="1:11" s="27" customFormat="1" ht="25.5" x14ac:dyDescent="0.2">
      <c r="A113" s="10" t="s">
        <v>234</v>
      </c>
      <c r="B113" s="8" t="s">
        <v>32</v>
      </c>
      <c r="C113" s="8" t="s">
        <v>37</v>
      </c>
      <c r="D113" s="8" t="s">
        <v>233</v>
      </c>
      <c r="E113" s="8"/>
      <c r="F113" s="9">
        <f>F114</f>
        <v>75</v>
      </c>
      <c r="G113" s="9">
        <f>G114</f>
        <v>75</v>
      </c>
      <c r="H113" s="9">
        <f>H114</f>
        <v>75</v>
      </c>
    </row>
    <row r="114" spans="1:11" s="27" customFormat="1" ht="25.5" x14ac:dyDescent="0.2">
      <c r="A114" s="28" t="s">
        <v>20</v>
      </c>
      <c r="B114" s="24" t="s">
        <v>32</v>
      </c>
      <c r="C114" s="24" t="s">
        <v>37</v>
      </c>
      <c r="D114" s="24" t="s">
        <v>233</v>
      </c>
      <c r="E114" s="25" t="s">
        <v>12</v>
      </c>
      <c r="F114" s="26">
        <v>75</v>
      </c>
      <c r="G114" s="26">
        <v>75</v>
      </c>
      <c r="H114" s="26">
        <v>75</v>
      </c>
    </row>
    <row r="115" spans="1:11" s="27" customFormat="1" ht="25.5" x14ac:dyDescent="0.2">
      <c r="A115" s="10" t="s">
        <v>235</v>
      </c>
      <c r="B115" s="8" t="s">
        <v>32</v>
      </c>
      <c r="C115" s="8" t="s">
        <v>37</v>
      </c>
      <c r="D115" s="8" t="s">
        <v>142</v>
      </c>
      <c r="E115" s="8"/>
      <c r="F115" s="9">
        <f>F116</f>
        <v>95.9</v>
      </c>
      <c r="G115" s="9">
        <f>G116</f>
        <v>95.9</v>
      </c>
      <c r="H115" s="9">
        <f>H116</f>
        <v>95.9</v>
      </c>
      <c r="I115" s="13"/>
      <c r="J115" s="13"/>
      <c r="K115" s="13"/>
    </row>
    <row r="116" spans="1:11" x14ac:dyDescent="0.2">
      <c r="A116" s="28" t="s">
        <v>16</v>
      </c>
      <c r="B116" s="24" t="s">
        <v>32</v>
      </c>
      <c r="C116" s="24" t="s">
        <v>37</v>
      </c>
      <c r="D116" s="24" t="s">
        <v>142</v>
      </c>
      <c r="E116" s="24" t="s">
        <v>17</v>
      </c>
      <c r="F116" s="26">
        <v>95.9</v>
      </c>
      <c r="G116" s="26">
        <v>95.9</v>
      </c>
      <c r="H116" s="26">
        <v>95.9</v>
      </c>
    </row>
    <row r="117" spans="1:11" s="4" customFormat="1" x14ac:dyDescent="0.2">
      <c r="A117" s="10" t="s">
        <v>237</v>
      </c>
      <c r="B117" s="8" t="s">
        <v>32</v>
      </c>
      <c r="C117" s="8" t="s">
        <v>37</v>
      </c>
      <c r="D117" s="8" t="s">
        <v>236</v>
      </c>
      <c r="E117" s="8"/>
      <c r="F117" s="9">
        <f>F118</f>
        <v>1000</v>
      </c>
      <c r="G117" s="9">
        <f>G118</f>
        <v>1000</v>
      </c>
      <c r="H117" s="9">
        <f>H118</f>
        <v>1000</v>
      </c>
    </row>
    <row r="118" spans="1:11" ht="25.5" x14ac:dyDescent="0.2">
      <c r="A118" s="28" t="s">
        <v>20</v>
      </c>
      <c r="B118" s="24" t="s">
        <v>32</v>
      </c>
      <c r="C118" s="24" t="s">
        <v>37</v>
      </c>
      <c r="D118" s="24" t="s">
        <v>236</v>
      </c>
      <c r="E118" s="25" t="s">
        <v>12</v>
      </c>
      <c r="F118" s="26">
        <v>1000</v>
      </c>
      <c r="G118" s="26">
        <v>1000</v>
      </c>
      <c r="H118" s="26">
        <v>1000</v>
      </c>
    </row>
    <row r="119" spans="1:11" s="27" customFormat="1" ht="38.25" x14ac:dyDescent="0.2">
      <c r="A119" s="10" t="s">
        <v>239</v>
      </c>
      <c r="B119" s="8" t="s">
        <v>32</v>
      </c>
      <c r="C119" s="8" t="s">
        <v>37</v>
      </c>
      <c r="D119" s="8" t="s">
        <v>238</v>
      </c>
      <c r="E119" s="8"/>
      <c r="F119" s="9">
        <f>F120</f>
        <v>700</v>
      </c>
      <c r="G119" s="9">
        <f>G120</f>
        <v>700</v>
      </c>
      <c r="H119" s="9">
        <f>H120</f>
        <v>700</v>
      </c>
    </row>
    <row r="120" spans="1:11" s="4" customFormat="1" ht="25.5" x14ac:dyDescent="0.2">
      <c r="A120" s="28" t="s">
        <v>20</v>
      </c>
      <c r="B120" s="24" t="s">
        <v>32</v>
      </c>
      <c r="C120" s="24" t="s">
        <v>37</v>
      </c>
      <c r="D120" s="24" t="s">
        <v>238</v>
      </c>
      <c r="E120" s="25" t="s">
        <v>12</v>
      </c>
      <c r="F120" s="26">
        <v>700</v>
      </c>
      <c r="G120" s="26">
        <v>700</v>
      </c>
      <c r="H120" s="26">
        <v>700</v>
      </c>
    </row>
    <row r="121" spans="1:11" ht="15.75" x14ac:dyDescent="0.25">
      <c r="A121" s="38" t="s">
        <v>43</v>
      </c>
      <c r="B121" s="36" t="s">
        <v>44</v>
      </c>
      <c r="C121" s="36" t="s">
        <v>26</v>
      </c>
      <c r="D121" s="36"/>
      <c r="E121" s="36"/>
      <c r="F121" s="37">
        <f>F122+F140+F161+F170</f>
        <v>198334.80000000002</v>
      </c>
      <c r="G121" s="37">
        <f>G122+G140+G161+G170</f>
        <v>102280</v>
      </c>
      <c r="H121" s="37">
        <f>H122+H140+H161+H170</f>
        <v>114742.6</v>
      </c>
    </row>
    <row r="122" spans="1:11" s="27" customFormat="1" x14ac:dyDescent="0.2">
      <c r="A122" s="14" t="s">
        <v>45</v>
      </c>
      <c r="B122" s="11" t="s">
        <v>44</v>
      </c>
      <c r="C122" s="11" t="s">
        <v>25</v>
      </c>
      <c r="D122" s="11"/>
      <c r="E122" s="11"/>
      <c r="F122" s="12">
        <f>F123+F129+F131+F134+F138+F136+F125+F127</f>
        <v>48366.9</v>
      </c>
      <c r="G122" s="12">
        <f t="shared" ref="G122:H122" si="20">G123+G129+G131+G134+G138+G136+G125+G127</f>
        <v>22334.1</v>
      </c>
      <c r="H122" s="12">
        <f t="shared" si="20"/>
        <v>22334.1</v>
      </c>
    </row>
    <row r="123" spans="1:11" ht="51" customHeight="1" x14ac:dyDescent="0.2">
      <c r="A123" s="5" t="s">
        <v>270</v>
      </c>
      <c r="B123" s="8" t="s">
        <v>44</v>
      </c>
      <c r="C123" s="8" t="s">
        <v>25</v>
      </c>
      <c r="D123" s="8" t="s">
        <v>150</v>
      </c>
      <c r="E123" s="8"/>
      <c r="F123" s="9">
        <f>F124</f>
        <v>27186.7</v>
      </c>
      <c r="G123" s="9">
        <f>G124</f>
        <v>0</v>
      </c>
      <c r="H123" s="9">
        <f>H124</f>
        <v>0</v>
      </c>
    </row>
    <row r="124" spans="1:11" s="27" customFormat="1" ht="25.5" x14ac:dyDescent="0.2">
      <c r="A124" s="28" t="s">
        <v>78</v>
      </c>
      <c r="B124" s="24" t="s">
        <v>44</v>
      </c>
      <c r="C124" s="24" t="s">
        <v>25</v>
      </c>
      <c r="D124" s="24" t="s">
        <v>150</v>
      </c>
      <c r="E124" s="24" t="s">
        <v>15</v>
      </c>
      <c r="F124" s="26">
        <v>27186.7</v>
      </c>
      <c r="G124" s="26">
        <v>0</v>
      </c>
      <c r="H124" s="26">
        <v>0</v>
      </c>
    </row>
    <row r="125" spans="1:11" ht="38.25" x14ac:dyDescent="0.2">
      <c r="A125" s="10" t="s">
        <v>269</v>
      </c>
      <c r="B125" s="8" t="s">
        <v>44</v>
      </c>
      <c r="C125" s="8" t="s">
        <v>25</v>
      </c>
      <c r="D125" s="8" t="s">
        <v>268</v>
      </c>
      <c r="E125" s="8"/>
      <c r="F125" s="9">
        <f>F126</f>
        <v>2725</v>
      </c>
      <c r="G125" s="9">
        <f t="shared" ref="G125:H129" si="21">G126</f>
        <v>0</v>
      </c>
      <c r="H125" s="9">
        <f t="shared" si="21"/>
        <v>0</v>
      </c>
    </row>
    <row r="126" spans="1:11" ht="25.5" x14ac:dyDescent="0.2">
      <c r="A126" s="28" t="s">
        <v>78</v>
      </c>
      <c r="B126" s="24" t="s">
        <v>44</v>
      </c>
      <c r="C126" s="24" t="s">
        <v>25</v>
      </c>
      <c r="D126" s="24" t="s">
        <v>268</v>
      </c>
      <c r="E126" s="25" t="s">
        <v>15</v>
      </c>
      <c r="F126" s="26">
        <v>2725</v>
      </c>
      <c r="G126" s="26">
        <v>0</v>
      </c>
      <c r="H126" s="26">
        <v>0</v>
      </c>
    </row>
    <row r="127" spans="1:11" x14ac:dyDescent="0.2">
      <c r="A127" s="64" t="s">
        <v>266</v>
      </c>
      <c r="B127" s="8" t="s">
        <v>44</v>
      </c>
      <c r="C127" s="8" t="s">
        <v>25</v>
      </c>
      <c r="D127" s="8" t="s">
        <v>449</v>
      </c>
      <c r="E127" s="8"/>
      <c r="F127" s="9">
        <f>F128</f>
        <v>2725</v>
      </c>
      <c r="G127" s="9">
        <f t="shared" si="21"/>
        <v>0</v>
      </c>
      <c r="H127" s="9">
        <f t="shared" si="21"/>
        <v>0</v>
      </c>
    </row>
    <row r="128" spans="1:11" ht="25.5" x14ac:dyDescent="0.2">
      <c r="A128" s="28" t="s">
        <v>78</v>
      </c>
      <c r="B128" s="24" t="s">
        <v>44</v>
      </c>
      <c r="C128" s="24" t="s">
        <v>25</v>
      </c>
      <c r="D128" s="24" t="s">
        <v>449</v>
      </c>
      <c r="E128" s="25" t="s">
        <v>15</v>
      </c>
      <c r="F128" s="26">
        <v>2725</v>
      </c>
      <c r="G128" s="26">
        <v>0</v>
      </c>
      <c r="H128" s="26">
        <v>0</v>
      </c>
    </row>
    <row r="129" spans="1:8" ht="25.5" x14ac:dyDescent="0.2">
      <c r="A129" s="10" t="s">
        <v>271</v>
      </c>
      <c r="B129" s="8" t="s">
        <v>44</v>
      </c>
      <c r="C129" s="8" t="s">
        <v>25</v>
      </c>
      <c r="D129" s="8" t="s">
        <v>267</v>
      </c>
      <c r="E129" s="8"/>
      <c r="F129" s="9">
        <f>F130</f>
        <v>3983</v>
      </c>
      <c r="G129" s="9">
        <f t="shared" si="21"/>
        <v>0</v>
      </c>
      <c r="H129" s="9">
        <f t="shared" si="21"/>
        <v>0</v>
      </c>
    </row>
    <row r="130" spans="1:8" ht="25.5" x14ac:dyDescent="0.2">
      <c r="A130" s="28" t="s">
        <v>20</v>
      </c>
      <c r="B130" s="24" t="s">
        <v>44</v>
      </c>
      <c r="C130" s="24" t="s">
        <v>25</v>
      </c>
      <c r="D130" s="24" t="s">
        <v>267</v>
      </c>
      <c r="E130" s="25" t="s">
        <v>12</v>
      </c>
      <c r="F130" s="26">
        <v>3983</v>
      </c>
      <c r="G130" s="26">
        <v>0</v>
      </c>
      <c r="H130" s="26">
        <v>0</v>
      </c>
    </row>
    <row r="131" spans="1:8" x14ac:dyDescent="0.2">
      <c r="A131" s="10" t="s">
        <v>273</v>
      </c>
      <c r="B131" s="8" t="s">
        <v>44</v>
      </c>
      <c r="C131" s="8" t="s">
        <v>25</v>
      </c>
      <c r="D131" s="8" t="s">
        <v>272</v>
      </c>
      <c r="E131" s="8"/>
      <c r="F131" s="9">
        <f>F132+F133</f>
        <v>5377.1</v>
      </c>
      <c r="G131" s="9">
        <f>G132+G133</f>
        <v>7562.9</v>
      </c>
      <c r="H131" s="9">
        <f>H132+H133</f>
        <v>7562.9</v>
      </c>
    </row>
    <row r="132" spans="1:8" ht="25.5" x14ac:dyDescent="0.2">
      <c r="A132" s="28" t="s">
        <v>20</v>
      </c>
      <c r="B132" s="24" t="s">
        <v>44</v>
      </c>
      <c r="C132" s="24" t="s">
        <v>25</v>
      </c>
      <c r="D132" s="8" t="s">
        <v>272</v>
      </c>
      <c r="E132" s="25" t="s">
        <v>12</v>
      </c>
      <c r="F132" s="26">
        <v>200</v>
      </c>
      <c r="G132" s="26">
        <v>200</v>
      </c>
      <c r="H132" s="26">
        <v>200</v>
      </c>
    </row>
    <row r="133" spans="1:8" ht="25.5" x14ac:dyDescent="0.2">
      <c r="A133" s="28" t="s">
        <v>78</v>
      </c>
      <c r="B133" s="24" t="s">
        <v>44</v>
      </c>
      <c r="C133" s="24" t="s">
        <v>25</v>
      </c>
      <c r="D133" s="8" t="s">
        <v>272</v>
      </c>
      <c r="E133" s="24" t="s">
        <v>15</v>
      </c>
      <c r="F133" s="26">
        <v>5177.1000000000004</v>
      </c>
      <c r="G133" s="26">
        <v>7362.9</v>
      </c>
      <c r="H133" s="26">
        <v>7362.9</v>
      </c>
    </row>
    <row r="134" spans="1:8" x14ac:dyDescent="0.2">
      <c r="A134" s="10" t="s">
        <v>275</v>
      </c>
      <c r="B134" s="8" t="s">
        <v>44</v>
      </c>
      <c r="C134" s="8" t="s">
        <v>25</v>
      </c>
      <c r="D134" s="24" t="s">
        <v>274</v>
      </c>
      <c r="E134" s="8"/>
      <c r="F134" s="9">
        <f>F135</f>
        <v>2832.1</v>
      </c>
      <c r="G134" s="9">
        <f>G135</f>
        <v>11233.2</v>
      </c>
      <c r="H134" s="9">
        <f>H135</f>
        <v>11233.2</v>
      </c>
    </row>
    <row r="135" spans="1:8" ht="25.5" x14ac:dyDescent="0.2">
      <c r="A135" s="28" t="s">
        <v>20</v>
      </c>
      <c r="B135" s="8" t="s">
        <v>44</v>
      </c>
      <c r="C135" s="8" t="s">
        <v>25</v>
      </c>
      <c r="D135" s="24" t="s">
        <v>274</v>
      </c>
      <c r="E135" s="24" t="s">
        <v>12</v>
      </c>
      <c r="F135" s="26">
        <v>2832.1</v>
      </c>
      <c r="G135" s="26">
        <v>11233.2</v>
      </c>
      <c r="H135" s="26">
        <v>11233.2</v>
      </c>
    </row>
    <row r="136" spans="1:8" ht="25.5" x14ac:dyDescent="0.2">
      <c r="A136" s="10" t="s">
        <v>276</v>
      </c>
      <c r="B136" s="8" t="s">
        <v>44</v>
      </c>
      <c r="C136" s="8" t="s">
        <v>25</v>
      </c>
      <c r="D136" s="8" t="s">
        <v>277</v>
      </c>
      <c r="E136" s="8"/>
      <c r="F136" s="9">
        <f>F137</f>
        <v>2263.6999999999998</v>
      </c>
      <c r="G136" s="9">
        <f>G137</f>
        <v>2263.6999999999998</v>
      </c>
      <c r="H136" s="9">
        <f>H137</f>
        <v>2263.6999999999998</v>
      </c>
    </row>
    <row r="137" spans="1:8" ht="25.5" x14ac:dyDescent="0.2">
      <c r="A137" s="28" t="s">
        <v>20</v>
      </c>
      <c r="B137" s="24" t="s">
        <v>44</v>
      </c>
      <c r="C137" s="24" t="s">
        <v>25</v>
      </c>
      <c r="D137" s="24" t="s">
        <v>277</v>
      </c>
      <c r="E137" s="24" t="s">
        <v>12</v>
      </c>
      <c r="F137" s="26">
        <v>2263.6999999999998</v>
      </c>
      <c r="G137" s="26">
        <v>2263.6999999999998</v>
      </c>
      <c r="H137" s="26">
        <v>2263.6999999999998</v>
      </c>
    </row>
    <row r="138" spans="1:8" ht="25.5" x14ac:dyDescent="0.2">
      <c r="A138" s="10" t="s">
        <v>278</v>
      </c>
      <c r="B138" s="8" t="s">
        <v>44</v>
      </c>
      <c r="C138" s="8" t="s">
        <v>25</v>
      </c>
      <c r="D138" s="8" t="s">
        <v>279</v>
      </c>
      <c r="E138" s="8"/>
      <c r="F138" s="9">
        <f>F139</f>
        <v>1274.3</v>
      </c>
      <c r="G138" s="9">
        <f>G139</f>
        <v>1274.3</v>
      </c>
      <c r="H138" s="9">
        <f>H139</f>
        <v>1274.3</v>
      </c>
    </row>
    <row r="139" spans="1:8" x14ac:dyDescent="0.2">
      <c r="A139" s="28" t="s">
        <v>16</v>
      </c>
      <c r="B139" s="24" t="s">
        <v>44</v>
      </c>
      <c r="C139" s="24" t="s">
        <v>25</v>
      </c>
      <c r="D139" s="24" t="s">
        <v>279</v>
      </c>
      <c r="E139" s="24" t="s">
        <v>17</v>
      </c>
      <c r="F139" s="26">
        <f>1274.3</f>
        <v>1274.3</v>
      </c>
      <c r="G139" s="26">
        <f t="shared" ref="G139:H139" si="22">1274.3</f>
        <v>1274.3</v>
      </c>
      <c r="H139" s="26">
        <f t="shared" si="22"/>
        <v>1274.3</v>
      </c>
    </row>
    <row r="140" spans="1:8" x14ac:dyDescent="0.2">
      <c r="A140" s="14" t="s">
        <v>46</v>
      </c>
      <c r="B140" s="11" t="s">
        <v>44</v>
      </c>
      <c r="C140" s="11" t="s">
        <v>28</v>
      </c>
      <c r="D140" s="11"/>
      <c r="E140" s="11"/>
      <c r="F140" s="12">
        <f>F141+F143+F155+F157+F159+F147+F149+F151+F153+F145</f>
        <v>124871.80000000002</v>
      </c>
      <c r="G140" s="12">
        <f t="shared" ref="G140:H140" si="23">G141+G143+G155+G157+G159+G147+G149+G151+G153+G145</f>
        <v>54849.799999999996</v>
      </c>
      <c r="H140" s="12">
        <f t="shared" si="23"/>
        <v>67312.399999999994</v>
      </c>
    </row>
    <row r="141" spans="1:8" ht="25.5" x14ac:dyDescent="0.2">
      <c r="A141" s="5" t="s">
        <v>219</v>
      </c>
      <c r="B141" s="8" t="s">
        <v>44</v>
      </c>
      <c r="C141" s="8" t="s">
        <v>28</v>
      </c>
      <c r="D141" s="8" t="s">
        <v>218</v>
      </c>
      <c r="E141" s="1"/>
      <c r="F141" s="2">
        <f>F142</f>
        <v>43.4</v>
      </c>
      <c r="G141" s="2">
        <f>G142</f>
        <v>43.4</v>
      </c>
      <c r="H141" s="2">
        <f>H142</f>
        <v>43.4</v>
      </c>
    </row>
    <row r="142" spans="1:8" s="4" customFormat="1" ht="25.5" x14ac:dyDescent="0.2">
      <c r="A142" s="28" t="s">
        <v>20</v>
      </c>
      <c r="B142" s="24" t="s">
        <v>44</v>
      </c>
      <c r="C142" s="24" t="s">
        <v>28</v>
      </c>
      <c r="D142" s="24" t="s">
        <v>218</v>
      </c>
      <c r="E142" s="25" t="s">
        <v>12</v>
      </c>
      <c r="F142" s="26">
        <f>43.4</f>
        <v>43.4</v>
      </c>
      <c r="G142" s="26">
        <f t="shared" ref="G142:H142" si="24">43.4</f>
        <v>43.4</v>
      </c>
      <c r="H142" s="26">
        <f t="shared" si="24"/>
        <v>43.4</v>
      </c>
    </row>
    <row r="143" spans="1:8" ht="25.5" x14ac:dyDescent="0.2">
      <c r="A143" s="5" t="s">
        <v>280</v>
      </c>
      <c r="B143" s="8" t="s">
        <v>44</v>
      </c>
      <c r="C143" s="8" t="s">
        <v>28</v>
      </c>
      <c r="D143" s="8" t="s">
        <v>281</v>
      </c>
      <c r="E143" s="8"/>
      <c r="F143" s="9">
        <f>F144</f>
        <v>2314</v>
      </c>
      <c r="G143" s="9">
        <f t="shared" ref="G143:H145" si="25">G144</f>
        <v>4455</v>
      </c>
      <c r="H143" s="9">
        <f t="shared" si="25"/>
        <v>4573</v>
      </c>
    </row>
    <row r="144" spans="1:8" ht="25.5" x14ac:dyDescent="0.2">
      <c r="A144" s="28" t="s">
        <v>20</v>
      </c>
      <c r="B144" s="24" t="s">
        <v>44</v>
      </c>
      <c r="C144" s="24" t="s">
        <v>28</v>
      </c>
      <c r="D144" s="24" t="s">
        <v>281</v>
      </c>
      <c r="E144" s="24" t="s">
        <v>12</v>
      </c>
      <c r="F144" s="26">
        <f>2314</f>
        <v>2314</v>
      </c>
      <c r="G144" s="26">
        <f>4455</f>
        <v>4455</v>
      </c>
      <c r="H144" s="26">
        <f>4573</f>
        <v>4573</v>
      </c>
    </row>
    <row r="145" spans="1:15" ht="25.5" x14ac:dyDescent="0.2">
      <c r="A145" s="5" t="s">
        <v>285</v>
      </c>
      <c r="B145" s="8" t="s">
        <v>44</v>
      </c>
      <c r="C145" s="8" t="s">
        <v>28</v>
      </c>
      <c r="D145" s="8" t="s">
        <v>284</v>
      </c>
      <c r="E145" s="8"/>
      <c r="F145" s="9">
        <f>F146</f>
        <v>1500</v>
      </c>
      <c r="G145" s="9">
        <f t="shared" si="25"/>
        <v>1500</v>
      </c>
      <c r="H145" s="9">
        <f t="shared" si="25"/>
        <v>1500</v>
      </c>
    </row>
    <row r="146" spans="1:15" ht="25.5" x14ac:dyDescent="0.2">
      <c r="A146" s="28" t="s">
        <v>78</v>
      </c>
      <c r="B146" s="24" t="s">
        <v>44</v>
      </c>
      <c r="C146" s="24" t="s">
        <v>28</v>
      </c>
      <c r="D146" s="24" t="s">
        <v>284</v>
      </c>
      <c r="E146" s="24" t="s">
        <v>15</v>
      </c>
      <c r="F146" s="26">
        <f>1500</f>
        <v>1500</v>
      </c>
      <c r="G146" s="26">
        <f>1500</f>
        <v>1500</v>
      </c>
      <c r="H146" s="26">
        <f>1500</f>
        <v>1500</v>
      </c>
    </row>
    <row r="147" spans="1:15" s="3" customFormat="1" x14ac:dyDescent="0.2">
      <c r="A147" s="5" t="s">
        <v>282</v>
      </c>
      <c r="B147" s="8" t="s">
        <v>44</v>
      </c>
      <c r="C147" s="8" t="s">
        <v>28</v>
      </c>
      <c r="D147" s="8" t="s">
        <v>283</v>
      </c>
      <c r="E147" s="8"/>
      <c r="F147" s="9">
        <f>F148</f>
        <v>890</v>
      </c>
      <c r="G147" s="9">
        <f>G148</f>
        <v>890</v>
      </c>
      <c r="H147" s="9">
        <f>H148</f>
        <v>890</v>
      </c>
      <c r="I147" s="27"/>
      <c r="J147" s="27"/>
      <c r="K147" s="27"/>
      <c r="L147" s="27"/>
      <c r="M147" s="27"/>
      <c r="N147" s="27"/>
      <c r="O147" s="27"/>
    </row>
    <row r="148" spans="1:15" s="3" customFormat="1" ht="25.5" x14ac:dyDescent="0.2">
      <c r="A148" s="28" t="s">
        <v>20</v>
      </c>
      <c r="B148" s="24" t="s">
        <v>44</v>
      </c>
      <c r="C148" s="24" t="s">
        <v>28</v>
      </c>
      <c r="D148" s="24" t="s">
        <v>283</v>
      </c>
      <c r="E148" s="24" t="s">
        <v>12</v>
      </c>
      <c r="F148" s="26">
        <f>890</f>
        <v>890</v>
      </c>
      <c r="G148" s="26">
        <f>890</f>
        <v>890</v>
      </c>
      <c r="H148" s="26">
        <f>890</f>
        <v>890</v>
      </c>
      <c r="I148" s="13"/>
      <c r="J148" s="13"/>
      <c r="K148" s="13"/>
      <c r="L148" s="13"/>
      <c r="M148" s="13"/>
      <c r="N148" s="13"/>
      <c r="O148" s="13"/>
    </row>
    <row r="149" spans="1:15" s="3" customFormat="1" x14ac:dyDescent="0.2">
      <c r="A149" s="5" t="s">
        <v>288</v>
      </c>
      <c r="B149" s="8" t="s">
        <v>44</v>
      </c>
      <c r="C149" s="8" t="s">
        <v>28</v>
      </c>
      <c r="D149" s="8" t="s">
        <v>287</v>
      </c>
      <c r="E149" s="8"/>
      <c r="F149" s="9">
        <f>F150</f>
        <v>50</v>
      </c>
      <c r="G149" s="9">
        <f>G150</f>
        <v>50</v>
      </c>
      <c r="H149" s="9">
        <f>H150</f>
        <v>50</v>
      </c>
      <c r="I149" s="27"/>
      <c r="J149" s="27"/>
      <c r="K149" s="27"/>
      <c r="L149" s="27"/>
      <c r="M149" s="27"/>
      <c r="N149" s="27"/>
      <c r="O149" s="27"/>
    </row>
    <row r="150" spans="1:15" s="3" customFormat="1" ht="25.5" x14ac:dyDescent="0.2">
      <c r="A150" s="28" t="s">
        <v>20</v>
      </c>
      <c r="B150" s="24" t="s">
        <v>44</v>
      </c>
      <c r="C150" s="24" t="s">
        <v>28</v>
      </c>
      <c r="D150" s="24" t="s">
        <v>287</v>
      </c>
      <c r="E150" s="24" t="s">
        <v>12</v>
      </c>
      <c r="F150" s="26">
        <f>50</f>
        <v>50</v>
      </c>
      <c r="G150" s="26">
        <f>50</f>
        <v>50</v>
      </c>
      <c r="H150" s="26">
        <f>50</f>
        <v>50</v>
      </c>
      <c r="I150" s="13"/>
      <c r="J150" s="13"/>
      <c r="K150" s="13"/>
      <c r="L150" s="13"/>
      <c r="M150" s="13"/>
      <c r="N150" s="13"/>
      <c r="O150" s="13"/>
    </row>
    <row r="151" spans="1:15" s="3" customFormat="1" x14ac:dyDescent="0.2">
      <c r="A151" s="5" t="s">
        <v>290</v>
      </c>
      <c r="B151" s="8" t="s">
        <v>44</v>
      </c>
      <c r="C151" s="8" t="s">
        <v>28</v>
      </c>
      <c r="D151" s="8" t="s">
        <v>289</v>
      </c>
      <c r="E151" s="8"/>
      <c r="F151" s="9">
        <f>F152</f>
        <v>1500</v>
      </c>
      <c r="G151" s="9">
        <f t="shared" ref="G151:H153" si="26">G152</f>
        <v>500</v>
      </c>
      <c r="H151" s="9">
        <f t="shared" si="26"/>
        <v>500</v>
      </c>
      <c r="I151" s="27"/>
      <c r="J151" s="27"/>
      <c r="K151" s="27"/>
      <c r="L151" s="27"/>
      <c r="M151" s="27"/>
      <c r="N151" s="27"/>
      <c r="O151" s="27"/>
    </row>
    <row r="152" spans="1:15" s="3" customFormat="1" ht="25.5" x14ac:dyDescent="0.2">
      <c r="A152" s="28" t="s">
        <v>20</v>
      </c>
      <c r="B152" s="24" t="s">
        <v>44</v>
      </c>
      <c r="C152" s="24" t="s">
        <v>28</v>
      </c>
      <c r="D152" s="24" t="s">
        <v>289</v>
      </c>
      <c r="E152" s="24" t="s">
        <v>12</v>
      </c>
      <c r="F152" s="26">
        <f>1500</f>
        <v>1500</v>
      </c>
      <c r="G152" s="26">
        <f>500</f>
        <v>500</v>
      </c>
      <c r="H152" s="26">
        <f>500</f>
        <v>500</v>
      </c>
      <c r="I152" s="13"/>
      <c r="J152" s="13"/>
      <c r="K152" s="13"/>
      <c r="L152" s="13"/>
      <c r="M152" s="13"/>
      <c r="N152" s="13"/>
      <c r="O152" s="13"/>
    </row>
    <row r="153" spans="1:15" s="3" customFormat="1" x14ac:dyDescent="0.2">
      <c r="A153" s="5" t="s">
        <v>291</v>
      </c>
      <c r="B153" s="8" t="s">
        <v>44</v>
      </c>
      <c r="C153" s="8" t="s">
        <v>28</v>
      </c>
      <c r="D153" s="8" t="s">
        <v>292</v>
      </c>
      <c r="E153" s="8"/>
      <c r="F153" s="9">
        <f>F154</f>
        <v>2000</v>
      </c>
      <c r="G153" s="9">
        <f t="shared" si="26"/>
        <v>1000</v>
      </c>
      <c r="H153" s="9">
        <f t="shared" si="26"/>
        <v>1000</v>
      </c>
      <c r="I153" s="27"/>
      <c r="J153" s="27"/>
      <c r="K153" s="27"/>
      <c r="L153" s="27"/>
      <c r="M153" s="27"/>
      <c r="N153" s="27"/>
      <c r="O153" s="27"/>
    </row>
    <row r="154" spans="1:15" s="3" customFormat="1" ht="25.5" x14ac:dyDescent="0.2">
      <c r="A154" s="28" t="s">
        <v>20</v>
      </c>
      <c r="B154" s="24" t="s">
        <v>44</v>
      </c>
      <c r="C154" s="24" t="s">
        <v>28</v>
      </c>
      <c r="D154" s="24" t="s">
        <v>292</v>
      </c>
      <c r="E154" s="24" t="s">
        <v>12</v>
      </c>
      <c r="F154" s="26">
        <f>2000</f>
        <v>2000</v>
      </c>
      <c r="G154" s="26">
        <f>1000</f>
        <v>1000</v>
      </c>
      <c r="H154" s="26">
        <f>1000</f>
        <v>1000</v>
      </c>
      <c r="I154" s="13"/>
      <c r="J154" s="13"/>
      <c r="K154" s="13"/>
      <c r="L154" s="13"/>
      <c r="M154" s="13"/>
      <c r="N154" s="13"/>
      <c r="O154" s="13"/>
    </row>
    <row r="155" spans="1:15" ht="63.75" x14ac:dyDescent="0.2">
      <c r="A155" s="10" t="s">
        <v>293</v>
      </c>
      <c r="B155" s="8" t="s">
        <v>44</v>
      </c>
      <c r="C155" s="8" t="s">
        <v>28</v>
      </c>
      <c r="D155" s="8" t="s">
        <v>294</v>
      </c>
      <c r="E155" s="8"/>
      <c r="F155" s="9">
        <f>F156</f>
        <v>111382.80000000002</v>
      </c>
      <c r="G155" s="9">
        <f>G156</f>
        <v>41219.799999999996</v>
      </c>
      <c r="H155" s="9">
        <f>H156</f>
        <v>53564.4</v>
      </c>
    </row>
    <row r="156" spans="1:15" x14ac:dyDescent="0.2">
      <c r="A156" s="28" t="s">
        <v>16</v>
      </c>
      <c r="B156" s="24" t="s">
        <v>44</v>
      </c>
      <c r="C156" s="24" t="s">
        <v>28</v>
      </c>
      <c r="D156" s="24" t="s">
        <v>294</v>
      </c>
      <c r="E156" s="24" t="s">
        <v>17</v>
      </c>
      <c r="F156" s="26">
        <f>29522.4+80374.8+1485.6</f>
        <v>111382.80000000002</v>
      </c>
      <c r="G156" s="26">
        <f>10222.7+27831.5+1485.6+1680</f>
        <v>41219.799999999996</v>
      </c>
      <c r="H156" s="26">
        <f>13538.9+36859.9+1485.6+1680</f>
        <v>53564.4</v>
      </c>
    </row>
    <row r="157" spans="1:15" ht="63.75" x14ac:dyDescent="0.2">
      <c r="A157" s="5" t="s">
        <v>295</v>
      </c>
      <c r="B157" s="8" t="s">
        <v>44</v>
      </c>
      <c r="C157" s="8" t="s">
        <v>28</v>
      </c>
      <c r="D157" s="8" t="s">
        <v>296</v>
      </c>
      <c r="E157" s="8"/>
      <c r="F157" s="9">
        <f>F158</f>
        <v>1600.5</v>
      </c>
      <c r="G157" s="9">
        <f>G158</f>
        <v>1600.5</v>
      </c>
      <c r="H157" s="9">
        <f>H158</f>
        <v>1600.5</v>
      </c>
    </row>
    <row r="158" spans="1:15" x14ac:dyDescent="0.2">
      <c r="A158" s="28" t="s">
        <v>16</v>
      </c>
      <c r="B158" s="24" t="s">
        <v>44</v>
      </c>
      <c r="C158" s="24" t="s">
        <v>28</v>
      </c>
      <c r="D158" s="24" t="s">
        <v>296</v>
      </c>
      <c r="E158" s="24" t="s">
        <v>17</v>
      </c>
      <c r="F158" s="26">
        <f>1600.5</f>
        <v>1600.5</v>
      </c>
      <c r="G158" s="26">
        <f t="shared" ref="G158:H158" si="27">1600.5</f>
        <v>1600.5</v>
      </c>
      <c r="H158" s="26">
        <f t="shared" si="27"/>
        <v>1600.5</v>
      </c>
    </row>
    <row r="159" spans="1:15" ht="38.25" x14ac:dyDescent="0.2">
      <c r="A159" s="10" t="s">
        <v>297</v>
      </c>
      <c r="B159" s="8" t="s">
        <v>44</v>
      </c>
      <c r="C159" s="8" t="s">
        <v>28</v>
      </c>
      <c r="D159" s="8" t="s">
        <v>298</v>
      </c>
      <c r="E159" s="8"/>
      <c r="F159" s="9">
        <f>F160</f>
        <v>3591.1</v>
      </c>
      <c r="G159" s="9">
        <f>G160</f>
        <v>3591.1</v>
      </c>
      <c r="H159" s="9">
        <f>H160</f>
        <v>3591.1</v>
      </c>
    </row>
    <row r="160" spans="1:15" x14ac:dyDescent="0.2">
      <c r="A160" s="28" t="s">
        <v>16</v>
      </c>
      <c r="B160" s="24" t="s">
        <v>44</v>
      </c>
      <c r="C160" s="24" t="s">
        <v>28</v>
      </c>
      <c r="D160" s="24" t="s">
        <v>298</v>
      </c>
      <c r="E160" s="24" t="s">
        <v>17</v>
      </c>
      <c r="F160" s="26">
        <f>3591.1</f>
        <v>3591.1</v>
      </c>
      <c r="G160" s="26">
        <f t="shared" ref="G160:H160" si="28">3591.1</f>
        <v>3591.1</v>
      </c>
      <c r="H160" s="26">
        <f t="shared" si="28"/>
        <v>3591.1</v>
      </c>
    </row>
    <row r="161" spans="1:8" x14ac:dyDescent="0.2">
      <c r="A161" s="14" t="s">
        <v>47</v>
      </c>
      <c r="B161" s="11" t="s">
        <v>44</v>
      </c>
      <c r="C161" s="11" t="s">
        <v>30</v>
      </c>
      <c r="D161" s="11"/>
      <c r="E161" s="11"/>
      <c r="F161" s="12">
        <f>F162+F164+F166+F168</f>
        <v>10150</v>
      </c>
      <c r="G161" s="12">
        <f t="shared" ref="G161:H161" si="29">G162+G164+G166+G168</f>
        <v>10150</v>
      </c>
      <c r="H161" s="12">
        <f t="shared" si="29"/>
        <v>10150</v>
      </c>
    </row>
    <row r="162" spans="1:8" x14ac:dyDescent="0.2">
      <c r="A162" s="10" t="s">
        <v>302</v>
      </c>
      <c r="B162" s="8" t="s">
        <v>44</v>
      </c>
      <c r="C162" s="8" t="s">
        <v>30</v>
      </c>
      <c r="D162" s="8" t="s">
        <v>303</v>
      </c>
      <c r="E162" s="8"/>
      <c r="F162" s="9">
        <f>F163</f>
        <v>400</v>
      </c>
      <c r="G162" s="9">
        <f>G163</f>
        <v>400</v>
      </c>
      <c r="H162" s="9">
        <f>H163</f>
        <v>400</v>
      </c>
    </row>
    <row r="163" spans="1:8" ht="25.5" x14ac:dyDescent="0.2">
      <c r="A163" s="28" t="s">
        <v>286</v>
      </c>
      <c r="B163" s="24" t="s">
        <v>44</v>
      </c>
      <c r="C163" s="24" t="s">
        <v>30</v>
      </c>
      <c r="D163" s="24" t="s">
        <v>303</v>
      </c>
      <c r="E163" s="24" t="s">
        <v>8</v>
      </c>
      <c r="F163" s="26">
        <v>400</v>
      </c>
      <c r="G163" s="26">
        <v>400</v>
      </c>
      <c r="H163" s="26">
        <v>400</v>
      </c>
    </row>
    <row r="164" spans="1:8" ht="25.5" x14ac:dyDescent="0.2">
      <c r="A164" s="10" t="s">
        <v>306</v>
      </c>
      <c r="B164" s="8" t="s">
        <v>44</v>
      </c>
      <c r="C164" s="8" t="s">
        <v>30</v>
      </c>
      <c r="D164" s="8" t="s">
        <v>304</v>
      </c>
      <c r="E164" s="8"/>
      <c r="F164" s="9">
        <f>F165</f>
        <v>2000</v>
      </c>
      <c r="G164" s="9">
        <f>G165</f>
        <v>2000</v>
      </c>
      <c r="H164" s="9">
        <f>H165</f>
        <v>2000</v>
      </c>
    </row>
    <row r="165" spans="1:8" ht="25.5" x14ac:dyDescent="0.2">
      <c r="A165" s="28" t="s">
        <v>286</v>
      </c>
      <c r="B165" s="24" t="s">
        <v>44</v>
      </c>
      <c r="C165" s="24" t="s">
        <v>30</v>
      </c>
      <c r="D165" s="24" t="s">
        <v>305</v>
      </c>
      <c r="E165" s="24" t="s">
        <v>8</v>
      </c>
      <c r="F165" s="26">
        <v>2000</v>
      </c>
      <c r="G165" s="26">
        <v>2000</v>
      </c>
      <c r="H165" s="26">
        <v>2000</v>
      </c>
    </row>
    <row r="166" spans="1:8" x14ac:dyDescent="0.2">
      <c r="A166" s="10" t="s">
        <v>308</v>
      </c>
      <c r="B166" s="24" t="s">
        <v>44</v>
      </c>
      <c r="C166" s="24" t="s">
        <v>30</v>
      </c>
      <c r="D166" s="8" t="s">
        <v>307</v>
      </c>
      <c r="E166" s="24"/>
      <c r="F166" s="26">
        <f>F167</f>
        <v>1000</v>
      </c>
      <c r="G166" s="26">
        <f>G167</f>
        <v>1000</v>
      </c>
      <c r="H166" s="26">
        <f>H167</f>
        <v>1000</v>
      </c>
    </row>
    <row r="167" spans="1:8" ht="25.5" x14ac:dyDescent="0.2">
      <c r="A167" s="28" t="s">
        <v>286</v>
      </c>
      <c r="B167" s="24" t="s">
        <v>44</v>
      </c>
      <c r="C167" s="24" t="s">
        <v>30</v>
      </c>
      <c r="D167" s="24" t="s">
        <v>307</v>
      </c>
      <c r="E167" s="24" t="s">
        <v>8</v>
      </c>
      <c r="F167" s="26">
        <v>1000</v>
      </c>
      <c r="G167" s="26">
        <v>1000</v>
      </c>
      <c r="H167" s="26">
        <v>1000</v>
      </c>
    </row>
    <row r="168" spans="1:8" ht="25.5" x14ac:dyDescent="0.2">
      <c r="A168" s="10" t="s">
        <v>310</v>
      </c>
      <c r="B168" s="8" t="s">
        <v>44</v>
      </c>
      <c r="C168" s="8" t="s">
        <v>30</v>
      </c>
      <c r="D168" s="6" t="s">
        <v>309</v>
      </c>
      <c r="E168" s="8"/>
      <c r="F168" s="9">
        <f>F169</f>
        <v>6750</v>
      </c>
      <c r="G168" s="9">
        <f>G169</f>
        <v>6750</v>
      </c>
      <c r="H168" s="9">
        <f>H169</f>
        <v>6750</v>
      </c>
    </row>
    <row r="169" spans="1:8" ht="25.5" x14ac:dyDescent="0.2">
      <c r="A169" s="28" t="s">
        <v>286</v>
      </c>
      <c r="B169" s="24" t="s">
        <v>44</v>
      </c>
      <c r="C169" s="24" t="s">
        <v>30</v>
      </c>
      <c r="D169" s="6" t="s">
        <v>309</v>
      </c>
      <c r="E169" s="24" t="s">
        <v>8</v>
      </c>
      <c r="F169" s="26">
        <v>6750</v>
      </c>
      <c r="G169" s="26">
        <v>6750</v>
      </c>
      <c r="H169" s="26">
        <v>6750</v>
      </c>
    </row>
    <row r="170" spans="1:8" ht="25.5" x14ac:dyDescent="0.2">
      <c r="A170" s="14" t="s">
        <v>48</v>
      </c>
      <c r="B170" s="11" t="s">
        <v>44</v>
      </c>
      <c r="C170" s="11" t="s">
        <v>44</v>
      </c>
      <c r="D170" s="11"/>
      <c r="E170" s="11"/>
      <c r="F170" s="12">
        <f>F171+F173+F177</f>
        <v>14946.1</v>
      </c>
      <c r="G170" s="12">
        <f>G171+G173+G177</f>
        <v>14946.1</v>
      </c>
      <c r="H170" s="12">
        <f>H171+H173+H177</f>
        <v>14946.1</v>
      </c>
    </row>
    <row r="171" spans="1:8" ht="38.25" x14ac:dyDescent="0.2">
      <c r="A171" s="10" t="s">
        <v>312</v>
      </c>
      <c r="B171" s="8" t="s">
        <v>44</v>
      </c>
      <c r="C171" s="8" t="s">
        <v>44</v>
      </c>
      <c r="D171" s="8" t="s">
        <v>311</v>
      </c>
      <c r="E171" s="8"/>
      <c r="F171" s="9">
        <f>F172</f>
        <v>4092</v>
      </c>
      <c r="G171" s="9">
        <f>G172</f>
        <v>4092</v>
      </c>
      <c r="H171" s="9">
        <f>H172</f>
        <v>4092</v>
      </c>
    </row>
    <row r="172" spans="1:8" ht="25.5" x14ac:dyDescent="0.2">
      <c r="A172" s="28" t="s">
        <v>286</v>
      </c>
      <c r="B172" s="24" t="s">
        <v>44</v>
      </c>
      <c r="C172" s="24" t="s">
        <v>44</v>
      </c>
      <c r="D172" s="24" t="s">
        <v>311</v>
      </c>
      <c r="E172" s="24" t="s">
        <v>8</v>
      </c>
      <c r="F172" s="26">
        <f>4092</f>
        <v>4092</v>
      </c>
      <c r="G172" s="26">
        <f>4092</f>
        <v>4092</v>
      </c>
      <c r="H172" s="26">
        <f>4092</f>
        <v>4092</v>
      </c>
    </row>
    <row r="173" spans="1:8" ht="25.5" x14ac:dyDescent="0.2">
      <c r="A173" s="10" t="s">
        <v>314</v>
      </c>
      <c r="B173" s="8" t="s">
        <v>44</v>
      </c>
      <c r="C173" s="8" t="s">
        <v>44</v>
      </c>
      <c r="D173" s="8" t="s">
        <v>313</v>
      </c>
      <c r="E173" s="8"/>
      <c r="F173" s="9">
        <f>F174+F175+F176</f>
        <v>2889.8</v>
      </c>
      <c r="G173" s="9">
        <f>G174+G175+G176</f>
        <v>2889.8</v>
      </c>
      <c r="H173" s="9">
        <f>H174+H175+H176</f>
        <v>2889.8</v>
      </c>
    </row>
    <row r="174" spans="1:8" ht="51" x14ac:dyDescent="0.2">
      <c r="A174" s="23" t="s">
        <v>9</v>
      </c>
      <c r="B174" s="24" t="s">
        <v>44</v>
      </c>
      <c r="C174" s="24" t="s">
        <v>44</v>
      </c>
      <c r="D174" s="24" t="s">
        <v>313</v>
      </c>
      <c r="E174" s="24" t="s">
        <v>10</v>
      </c>
      <c r="F174" s="26">
        <f>2098.8+633.8+1</f>
        <v>2733.6000000000004</v>
      </c>
      <c r="G174" s="26">
        <f t="shared" ref="G174:H174" si="30">2098.8+633.8+1</f>
        <v>2733.6000000000004</v>
      </c>
      <c r="H174" s="26">
        <f t="shared" si="30"/>
        <v>2733.6000000000004</v>
      </c>
    </row>
    <row r="175" spans="1:8" ht="25.5" x14ac:dyDescent="0.2">
      <c r="A175" s="28" t="s">
        <v>20</v>
      </c>
      <c r="B175" s="24" t="s">
        <v>44</v>
      </c>
      <c r="C175" s="24" t="s">
        <v>44</v>
      </c>
      <c r="D175" s="24" t="s">
        <v>313</v>
      </c>
      <c r="E175" s="24" t="s">
        <v>12</v>
      </c>
      <c r="F175" s="26">
        <f>155.2</f>
        <v>155.19999999999999</v>
      </c>
      <c r="G175" s="26">
        <f t="shared" ref="G175:H175" si="31">155.2</f>
        <v>155.19999999999999</v>
      </c>
      <c r="H175" s="26">
        <f t="shared" si="31"/>
        <v>155.19999999999999</v>
      </c>
    </row>
    <row r="176" spans="1:8" x14ac:dyDescent="0.2">
      <c r="A176" s="23" t="s">
        <v>16</v>
      </c>
      <c r="B176" s="24" t="s">
        <v>44</v>
      </c>
      <c r="C176" s="24" t="s">
        <v>44</v>
      </c>
      <c r="D176" s="24" t="s">
        <v>313</v>
      </c>
      <c r="E176" s="24" t="s">
        <v>17</v>
      </c>
      <c r="F176" s="26">
        <f>1</f>
        <v>1</v>
      </c>
      <c r="G176" s="26">
        <f>1</f>
        <v>1</v>
      </c>
      <c r="H176" s="26">
        <f>1</f>
        <v>1</v>
      </c>
    </row>
    <row r="177" spans="1:8" ht="38.25" x14ac:dyDescent="0.2">
      <c r="A177" s="10" t="s">
        <v>316</v>
      </c>
      <c r="B177" s="24" t="s">
        <v>44</v>
      </c>
      <c r="C177" s="24" t="s">
        <v>44</v>
      </c>
      <c r="D177" s="8" t="s">
        <v>315</v>
      </c>
      <c r="E177" s="1"/>
      <c r="F177" s="2">
        <f>F178</f>
        <v>7964.3</v>
      </c>
      <c r="G177" s="2">
        <f>G178</f>
        <v>7964.3</v>
      </c>
      <c r="H177" s="2">
        <f>H178</f>
        <v>7964.3</v>
      </c>
    </row>
    <row r="178" spans="1:8" ht="25.5" x14ac:dyDescent="0.2">
      <c r="A178" s="28" t="s">
        <v>286</v>
      </c>
      <c r="B178" s="24" t="s">
        <v>44</v>
      </c>
      <c r="C178" s="24" t="s">
        <v>44</v>
      </c>
      <c r="D178" s="24" t="s">
        <v>315</v>
      </c>
      <c r="E178" s="24" t="s">
        <v>8</v>
      </c>
      <c r="F178" s="26">
        <f>7964.3</f>
        <v>7964.3</v>
      </c>
      <c r="G178" s="26">
        <f t="shared" ref="G178:H178" si="32">7964.3</f>
        <v>7964.3</v>
      </c>
      <c r="H178" s="26">
        <f t="shared" si="32"/>
        <v>7964.3</v>
      </c>
    </row>
    <row r="179" spans="1:8" ht="15.75" x14ac:dyDescent="0.25">
      <c r="A179" s="38" t="s">
        <v>49</v>
      </c>
      <c r="B179" s="36" t="s">
        <v>33</v>
      </c>
      <c r="C179" s="36" t="s">
        <v>26</v>
      </c>
      <c r="D179" s="36"/>
      <c r="E179" s="36"/>
      <c r="F179" s="37">
        <f>F180+F193+F230+F226+F216</f>
        <v>923315.20000000007</v>
      </c>
      <c r="G179" s="37">
        <f>G180+G193+G230+G226+G216</f>
        <v>923358.00000000012</v>
      </c>
      <c r="H179" s="37">
        <f>H180+H193+H230+H226+H216</f>
        <v>923398.00000000012</v>
      </c>
    </row>
    <row r="180" spans="1:8" x14ac:dyDescent="0.2">
      <c r="A180" s="14" t="s">
        <v>50</v>
      </c>
      <c r="B180" s="11" t="s">
        <v>33</v>
      </c>
      <c r="C180" s="11" t="s">
        <v>25</v>
      </c>
      <c r="D180" s="11"/>
      <c r="E180" s="11"/>
      <c r="F180" s="12">
        <f>F181+F185+F190</f>
        <v>298666.30000000005</v>
      </c>
      <c r="G180" s="12">
        <f>G181+G185+G190</f>
        <v>295859.90000000002</v>
      </c>
      <c r="H180" s="12">
        <f>H181+H185+H190</f>
        <v>297319.90000000002</v>
      </c>
    </row>
    <row r="181" spans="1:8" ht="51" x14ac:dyDescent="0.2">
      <c r="A181" s="10" t="s">
        <v>317</v>
      </c>
      <c r="B181" s="8" t="s">
        <v>33</v>
      </c>
      <c r="C181" s="8" t="s">
        <v>25</v>
      </c>
      <c r="D181" s="8" t="s">
        <v>131</v>
      </c>
      <c r="E181" s="8"/>
      <c r="F181" s="9">
        <f>F184+F182+F183</f>
        <v>189487</v>
      </c>
      <c r="G181" s="9">
        <f>G184+G182+G183</f>
        <v>189487</v>
      </c>
      <c r="H181" s="9">
        <f>H184+H182+H183</f>
        <v>189487</v>
      </c>
    </row>
    <row r="182" spans="1:8" ht="51" x14ac:dyDescent="0.2">
      <c r="A182" s="23" t="s">
        <v>9</v>
      </c>
      <c r="B182" s="24" t="s">
        <v>33</v>
      </c>
      <c r="C182" s="24" t="s">
        <v>25</v>
      </c>
      <c r="D182" s="24" t="s">
        <v>131</v>
      </c>
      <c r="E182" s="25" t="s">
        <v>10</v>
      </c>
      <c r="F182" s="26">
        <f>19607.8+5921.5</f>
        <v>25529.3</v>
      </c>
      <c r="G182" s="26">
        <f>19607.8+5921.5</f>
        <v>25529.3</v>
      </c>
      <c r="H182" s="26">
        <f>19607.8+5921.5</f>
        <v>25529.3</v>
      </c>
    </row>
    <row r="183" spans="1:8" ht="25.5" x14ac:dyDescent="0.2">
      <c r="A183" s="28" t="s">
        <v>20</v>
      </c>
      <c r="B183" s="24" t="s">
        <v>33</v>
      </c>
      <c r="C183" s="24" t="s">
        <v>25</v>
      </c>
      <c r="D183" s="24" t="s">
        <v>131</v>
      </c>
      <c r="E183" s="25" t="s">
        <v>12</v>
      </c>
      <c r="F183" s="26">
        <f>183.1</f>
        <v>183.1</v>
      </c>
      <c r="G183" s="26">
        <f>183.1</f>
        <v>183.1</v>
      </c>
      <c r="H183" s="26">
        <f>183.1</f>
        <v>183.1</v>
      </c>
    </row>
    <row r="184" spans="1:8" ht="25.5" x14ac:dyDescent="0.2">
      <c r="A184" s="28" t="s">
        <v>286</v>
      </c>
      <c r="B184" s="24" t="s">
        <v>33</v>
      </c>
      <c r="C184" s="24" t="s">
        <v>25</v>
      </c>
      <c r="D184" s="24" t="s">
        <v>131</v>
      </c>
      <c r="E184" s="24" t="s">
        <v>8</v>
      </c>
      <c r="F184" s="26">
        <v>163774.6</v>
      </c>
      <c r="G184" s="26">
        <v>163774.6</v>
      </c>
      <c r="H184" s="26">
        <v>163774.6</v>
      </c>
    </row>
    <row r="185" spans="1:8" ht="53.25" customHeight="1" x14ac:dyDescent="0.2">
      <c r="A185" s="10" t="s">
        <v>318</v>
      </c>
      <c r="B185" s="8" t="s">
        <v>33</v>
      </c>
      <c r="C185" s="8" t="s">
        <v>25</v>
      </c>
      <c r="D185" s="8" t="s">
        <v>325</v>
      </c>
      <c r="E185" s="8"/>
      <c r="F185" s="9">
        <f>F188+F187+F186+F189</f>
        <v>103872.9</v>
      </c>
      <c r="G185" s="9">
        <f>G188+G187+G186+G189</f>
        <v>106372.9</v>
      </c>
      <c r="H185" s="9">
        <f>H188+H187+H186+H189</f>
        <v>107832.9</v>
      </c>
    </row>
    <row r="186" spans="1:8" ht="39.75" customHeight="1" x14ac:dyDescent="0.2">
      <c r="A186" s="23" t="s">
        <v>9</v>
      </c>
      <c r="B186" s="24" t="s">
        <v>33</v>
      </c>
      <c r="C186" s="24" t="s">
        <v>25</v>
      </c>
      <c r="D186" s="24" t="s">
        <v>325</v>
      </c>
      <c r="E186" s="25" t="s">
        <v>10</v>
      </c>
      <c r="F186" s="26">
        <f>7002.9</f>
        <v>7002.9</v>
      </c>
      <c r="G186" s="26">
        <f t="shared" ref="G186:H186" si="33">7002.9</f>
        <v>7002.9</v>
      </c>
      <c r="H186" s="26">
        <f t="shared" si="33"/>
        <v>7002.9</v>
      </c>
    </row>
    <row r="187" spans="1:8" ht="25.5" x14ac:dyDescent="0.2">
      <c r="A187" s="28" t="s">
        <v>20</v>
      </c>
      <c r="B187" s="24" t="s">
        <v>33</v>
      </c>
      <c r="C187" s="24" t="s">
        <v>25</v>
      </c>
      <c r="D187" s="24" t="s">
        <v>325</v>
      </c>
      <c r="E187" s="25" t="s">
        <v>12</v>
      </c>
      <c r="F187" s="26">
        <f>3821.9+4028.8</f>
        <v>7850.7000000000007</v>
      </c>
      <c r="G187" s="26">
        <f t="shared" ref="G187:H187" si="34">3821.9+4028.8</f>
        <v>7850.7000000000007</v>
      </c>
      <c r="H187" s="26">
        <f t="shared" si="34"/>
        <v>7850.7000000000007</v>
      </c>
    </row>
    <row r="188" spans="1:8" ht="25.5" x14ac:dyDescent="0.2">
      <c r="A188" s="28" t="s">
        <v>286</v>
      </c>
      <c r="B188" s="24" t="s">
        <v>33</v>
      </c>
      <c r="C188" s="24" t="s">
        <v>25</v>
      </c>
      <c r="D188" s="24" t="s">
        <v>325</v>
      </c>
      <c r="E188" s="24" t="s">
        <v>8</v>
      </c>
      <c r="F188" s="26">
        <f>88902.6</f>
        <v>88902.6</v>
      </c>
      <c r="G188" s="26">
        <f>91402.6</f>
        <v>91402.6</v>
      </c>
      <c r="H188" s="26">
        <f>92862.6</f>
        <v>92862.6</v>
      </c>
    </row>
    <row r="189" spans="1:8" x14ac:dyDescent="0.2">
      <c r="A189" s="28" t="s">
        <v>16</v>
      </c>
      <c r="B189" s="24" t="s">
        <v>33</v>
      </c>
      <c r="C189" s="24" t="s">
        <v>28</v>
      </c>
      <c r="D189" s="24" t="s">
        <v>325</v>
      </c>
      <c r="E189" s="24" t="s">
        <v>17</v>
      </c>
      <c r="F189" s="26">
        <f>116.7</f>
        <v>116.7</v>
      </c>
      <c r="G189" s="26">
        <f t="shared" ref="G189:H189" si="35">116.7</f>
        <v>116.7</v>
      </c>
      <c r="H189" s="26">
        <f t="shared" si="35"/>
        <v>116.7</v>
      </c>
    </row>
    <row r="190" spans="1:8" ht="51.75" customHeight="1" x14ac:dyDescent="0.2">
      <c r="A190" s="10" t="s">
        <v>320</v>
      </c>
      <c r="B190" s="8" t="s">
        <v>33</v>
      </c>
      <c r="C190" s="8" t="s">
        <v>25</v>
      </c>
      <c r="D190" s="8" t="s">
        <v>319</v>
      </c>
      <c r="E190" s="8"/>
      <c r="F190" s="9">
        <f>F192+F191</f>
        <v>5306.4</v>
      </c>
      <c r="G190" s="9">
        <f>G192+G191</f>
        <v>0</v>
      </c>
      <c r="H190" s="9">
        <f>H192+H191</f>
        <v>0</v>
      </c>
    </row>
    <row r="191" spans="1:8" ht="25.5" x14ac:dyDescent="0.2">
      <c r="A191" s="28" t="s">
        <v>78</v>
      </c>
      <c r="B191" s="24" t="s">
        <v>33</v>
      </c>
      <c r="C191" s="24" t="s">
        <v>25</v>
      </c>
      <c r="D191" s="24" t="s">
        <v>319</v>
      </c>
      <c r="E191" s="24" t="s">
        <v>15</v>
      </c>
      <c r="F191" s="26">
        <v>4346.3999999999996</v>
      </c>
      <c r="G191" s="26">
        <v>0</v>
      </c>
      <c r="H191" s="26">
        <v>0</v>
      </c>
    </row>
    <row r="192" spans="1:8" ht="25.5" x14ac:dyDescent="0.2">
      <c r="A192" s="28" t="s">
        <v>286</v>
      </c>
      <c r="B192" s="24" t="s">
        <v>33</v>
      </c>
      <c r="C192" s="24" t="s">
        <v>25</v>
      </c>
      <c r="D192" s="24" t="s">
        <v>319</v>
      </c>
      <c r="E192" s="24" t="s">
        <v>8</v>
      </c>
      <c r="F192" s="26">
        <v>960</v>
      </c>
      <c r="G192" s="26">
        <v>0</v>
      </c>
      <c r="H192" s="26">
        <v>0</v>
      </c>
    </row>
    <row r="193" spans="1:8" x14ac:dyDescent="0.2">
      <c r="A193" s="14" t="s">
        <v>51</v>
      </c>
      <c r="B193" s="11" t="s">
        <v>33</v>
      </c>
      <c r="C193" s="11" t="s">
        <v>28</v>
      </c>
      <c r="D193" s="11"/>
      <c r="E193" s="11"/>
      <c r="F193" s="12">
        <f>F194+F198+F202+F204+F206+F210+F213</f>
        <v>442940.7</v>
      </c>
      <c r="G193" s="12">
        <f>G194+G198+G202+G204+G206+G210+G213</f>
        <v>444429.89999999997</v>
      </c>
      <c r="H193" s="12">
        <f>H194+H198+H202+H204+H206+H210+H213</f>
        <v>444969.89999999997</v>
      </c>
    </row>
    <row r="194" spans="1:8" ht="25.5" x14ac:dyDescent="0.2">
      <c r="A194" s="10" t="s">
        <v>326</v>
      </c>
      <c r="B194" s="8" t="s">
        <v>33</v>
      </c>
      <c r="C194" s="8" t="s">
        <v>28</v>
      </c>
      <c r="D194" s="8" t="s">
        <v>128</v>
      </c>
      <c r="E194" s="8"/>
      <c r="F194" s="9">
        <f>F195+F196+F197</f>
        <v>63155</v>
      </c>
      <c r="G194" s="9">
        <f>G195+G196+G197</f>
        <v>63155</v>
      </c>
      <c r="H194" s="9">
        <f>H195+H196+H197</f>
        <v>63155</v>
      </c>
    </row>
    <row r="195" spans="1:8" ht="51" x14ac:dyDescent="0.2">
      <c r="A195" s="23" t="s">
        <v>9</v>
      </c>
      <c r="B195" s="24" t="s">
        <v>33</v>
      </c>
      <c r="C195" s="24" t="s">
        <v>28</v>
      </c>
      <c r="D195" s="24" t="s">
        <v>128</v>
      </c>
      <c r="E195" s="25" t="s">
        <v>10</v>
      </c>
      <c r="F195" s="26">
        <f>28679.2+8661.1+4.7</f>
        <v>37345</v>
      </c>
      <c r="G195" s="26">
        <f>28679.2+8661.1+4.7</f>
        <v>37345</v>
      </c>
      <c r="H195" s="26">
        <f>28679.2+8661.1+4.7</f>
        <v>37345</v>
      </c>
    </row>
    <row r="196" spans="1:8" ht="25.5" x14ac:dyDescent="0.2">
      <c r="A196" s="28" t="s">
        <v>20</v>
      </c>
      <c r="B196" s="24" t="s">
        <v>33</v>
      </c>
      <c r="C196" s="24" t="s">
        <v>28</v>
      </c>
      <c r="D196" s="24" t="s">
        <v>129</v>
      </c>
      <c r="E196" s="25" t="s">
        <v>12</v>
      </c>
      <c r="F196" s="26">
        <v>23730</v>
      </c>
      <c r="G196" s="26">
        <v>23730</v>
      </c>
      <c r="H196" s="26">
        <v>23730</v>
      </c>
    </row>
    <row r="197" spans="1:8" x14ac:dyDescent="0.2">
      <c r="A197" s="28" t="s">
        <v>16</v>
      </c>
      <c r="B197" s="24" t="s">
        <v>33</v>
      </c>
      <c r="C197" s="24" t="s">
        <v>28</v>
      </c>
      <c r="D197" s="24" t="s">
        <v>128</v>
      </c>
      <c r="E197" s="24" t="s">
        <v>17</v>
      </c>
      <c r="F197" s="26">
        <v>2080</v>
      </c>
      <c r="G197" s="26">
        <v>2080</v>
      </c>
      <c r="H197" s="26">
        <v>2080</v>
      </c>
    </row>
    <row r="198" spans="1:8" ht="63.75" x14ac:dyDescent="0.2">
      <c r="A198" s="10" t="s">
        <v>327</v>
      </c>
      <c r="B198" s="8" t="s">
        <v>33</v>
      </c>
      <c r="C198" s="8" t="s">
        <v>28</v>
      </c>
      <c r="D198" s="8" t="s">
        <v>126</v>
      </c>
      <c r="E198" s="8"/>
      <c r="F198" s="9">
        <f>F199+F200+F201</f>
        <v>318161</v>
      </c>
      <c r="G198" s="9">
        <f>G199+G200+G201</f>
        <v>318161</v>
      </c>
      <c r="H198" s="9">
        <f>H199+H200+H201</f>
        <v>318161</v>
      </c>
    </row>
    <row r="199" spans="1:8" ht="51" x14ac:dyDescent="0.2">
      <c r="A199" s="23" t="s">
        <v>9</v>
      </c>
      <c r="B199" s="24" t="s">
        <v>33</v>
      </c>
      <c r="C199" s="24" t="s">
        <v>28</v>
      </c>
      <c r="D199" s="24" t="s">
        <v>126</v>
      </c>
      <c r="E199" s="25" t="s">
        <v>10</v>
      </c>
      <c r="F199" s="26">
        <f>47964+14485.1</f>
        <v>62449.1</v>
      </c>
      <c r="G199" s="26">
        <f>47964+14485.1</f>
        <v>62449.1</v>
      </c>
      <c r="H199" s="26">
        <f>47964+14485.1</f>
        <v>62449.1</v>
      </c>
    </row>
    <row r="200" spans="1:8" ht="25.5" x14ac:dyDescent="0.2">
      <c r="A200" s="28" t="s">
        <v>20</v>
      </c>
      <c r="B200" s="24" t="s">
        <v>33</v>
      </c>
      <c r="C200" s="24" t="s">
        <v>28</v>
      </c>
      <c r="D200" s="24" t="s">
        <v>126</v>
      </c>
      <c r="E200" s="25" t="s">
        <v>12</v>
      </c>
      <c r="F200" s="26">
        <f>1581.8</f>
        <v>1581.8</v>
      </c>
      <c r="G200" s="26">
        <f>1581.8</f>
        <v>1581.8</v>
      </c>
      <c r="H200" s="26">
        <f>1581.8</f>
        <v>1581.8</v>
      </c>
    </row>
    <row r="201" spans="1:8" ht="25.5" x14ac:dyDescent="0.2">
      <c r="A201" s="28" t="s">
        <v>286</v>
      </c>
      <c r="B201" s="24" t="s">
        <v>33</v>
      </c>
      <c r="C201" s="24" t="s">
        <v>28</v>
      </c>
      <c r="D201" s="24" t="s">
        <v>126</v>
      </c>
      <c r="E201" s="24" t="s">
        <v>8</v>
      </c>
      <c r="F201" s="26">
        <f>254130.1</f>
        <v>254130.1</v>
      </c>
      <c r="G201" s="26">
        <f>254130.1</f>
        <v>254130.1</v>
      </c>
      <c r="H201" s="26">
        <f>254130.1</f>
        <v>254130.1</v>
      </c>
    </row>
    <row r="202" spans="1:8" ht="38.25" x14ac:dyDescent="0.2">
      <c r="A202" s="10" t="s">
        <v>328</v>
      </c>
      <c r="B202" s="8" t="s">
        <v>33</v>
      </c>
      <c r="C202" s="8" t="s">
        <v>28</v>
      </c>
      <c r="D202" s="8" t="s">
        <v>127</v>
      </c>
      <c r="E202" s="8"/>
      <c r="F202" s="9">
        <f>F203</f>
        <v>10243</v>
      </c>
      <c r="G202" s="9">
        <f t="shared" ref="G202:H202" si="36">G203</f>
        <v>10243</v>
      </c>
      <c r="H202" s="9">
        <f t="shared" si="36"/>
        <v>10243</v>
      </c>
    </row>
    <row r="203" spans="1:8" ht="25.5" x14ac:dyDescent="0.2">
      <c r="A203" s="28" t="s">
        <v>20</v>
      </c>
      <c r="B203" s="24" t="s">
        <v>33</v>
      </c>
      <c r="C203" s="24" t="s">
        <v>28</v>
      </c>
      <c r="D203" s="24" t="s">
        <v>127</v>
      </c>
      <c r="E203" s="25" t="s">
        <v>12</v>
      </c>
      <c r="F203" s="26">
        <f>10243</f>
        <v>10243</v>
      </c>
      <c r="G203" s="26">
        <f>10243</f>
        <v>10243</v>
      </c>
      <c r="H203" s="26">
        <f>10243</f>
        <v>10243</v>
      </c>
    </row>
    <row r="204" spans="1:8" ht="63.75" x14ac:dyDescent="0.2">
      <c r="A204" s="10" t="s">
        <v>321</v>
      </c>
      <c r="B204" s="8" t="s">
        <v>33</v>
      </c>
      <c r="C204" s="8" t="s">
        <v>28</v>
      </c>
      <c r="D204" s="8" t="s">
        <v>322</v>
      </c>
      <c r="E204" s="8"/>
      <c r="F204" s="9">
        <f>F205</f>
        <v>41352.199999999997</v>
      </c>
      <c r="G204" s="9">
        <f>G205</f>
        <v>42298.6</v>
      </c>
      <c r="H204" s="9">
        <f>H205</f>
        <v>42798.6</v>
      </c>
    </row>
    <row r="205" spans="1:8" ht="25.5" x14ac:dyDescent="0.2">
      <c r="A205" s="28" t="s">
        <v>286</v>
      </c>
      <c r="B205" s="24" t="s">
        <v>33</v>
      </c>
      <c r="C205" s="24" t="s">
        <v>28</v>
      </c>
      <c r="D205" s="24" t="s">
        <v>322</v>
      </c>
      <c r="E205" s="24" t="s">
        <v>8</v>
      </c>
      <c r="F205" s="26">
        <v>41352.199999999997</v>
      </c>
      <c r="G205" s="26">
        <v>42298.6</v>
      </c>
      <c r="H205" s="26">
        <v>42798.6</v>
      </c>
    </row>
    <row r="206" spans="1:8" ht="51" x14ac:dyDescent="0.2">
      <c r="A206" s="10" t="s">
        <v>331</v>
      </c>
      <c r="B206" s="8" t="s">
        <v>33</v>
      </c>
      <c r="C206" s="8" t="s">
        <v>28</v>
      </c>
      <c r="D206" s="8" t="s">
        <v>332</v>
      </c>
      <c r="E206" s="8"/>
      <c r="F206" s="9">
        <f>F207+F208+F209</f>
        <v>8598.2999999999993</v>
      </c>
      <c r="G206" s="9">
        <f>G207+G208+G209</f>
        <v>9098.2999999999993</v>
      </c>
      <c r="H206" s="9">
        <f>H207+H208+H209</f>
        <v>9098.2999999999993</v>
      </c>
    </row>
    <row r="207" spans="1:8" ht="51" x14ac:dyDescent="0.2">
      <c r="A207" s="23" t="s">
        <v>9</v>
      </c>
      <c r="B207" s="24" t="s">
        <v>33</v>
      </c>
      <c r="C207" s="24" t="s">
        <v>28</v>
      </c>
      <c r="D207" s="24" t="s">
        <v>332</v>
      </c>
      <c r="E207" s="25" t="s">
        <v>10</v>
      </c>
      <c r="F207" s="26">
        <v>2.4</v>
      </c>
      <c r="G207" s="26">
        <v>2.4</v>
      </c>
      <c r="H207" s="26">
        <v>2.4</v>
      </c>
    </row>
    <row r="208" spans="1:8" ht="25.5" x14ac:dyDescent="0.2">
      <c r="A208" s="28" t="s">
        <v>20</v>
      </c>
      <c r="B208" s="24" t="s">
        <v>33</v>
      </c>
      <c r="C208" s="24" t="s">
        <v>28</v>
      </c>
      <c r="D208" s="24" t="s">
        <v>332</v>
      </c>
      <c r="E208" s="25" t="s">
        <v>12</v>
      </c>
      <c r="F208" s="26">
        <v>8176.9</v>
      </c>
      <c r="G208" s="26">
        <v>8676.9</v>
      </c>
      <c r="H208" s="26">
        <v>8676.9</v>
      </c>
    </row>
    <row r="209" spans="1:8" x14ac:dyDescent="0.2">
      <c r="A209" s="28" t="s">
        <v>16</v>
      </c>
      <c r="B209" s="24" t="s">
        <v>33</v>
      </c>
      <c r="C209" s="24" t="s">
        <v>28</v>
      </c>
      <c r="D209" s="24" t="s">
        <v>332</v>
      </c>
      <c r="E209" s="24" t="s">
        <v>17</v>
      </c>
      <c r="F209" s="26">
        <v>419</v>
      </c>
      <c r="G209" s="26">
        <v>419</v>
      </c>
      <c r="H209" s="26">
        <v>419</v>
      </c>
    </row>
    <row r="210" spans="1:8" ht="63.75" x14ac:dyDescent="0.2">
      <c r="A210" s="10" t="s">
        <v>336</v>
      </c>
      <c r="B210" s="8" t="s">
        <v>33</v>
      </c>
      <c r="C210" s="8" t="s">
        <v>28</v>
      </c>
      <c r="D210" s="8" t="s">
        <v>335</v>
      </c>
      <c r="E210" s="8"/>
      <c r="F210" s="9">
        <f>F211+F212</f>
        <v>1114.2</v>
      </c>
      <c r="G210" s="9">
        <f>G211+G212</f>
        <v>1157</v>
      </c>
      <c r="H210" s="9">
        <f>H211+H212</f>
        <v>1197</v>
      </c>
    </row>
    <row r="211" spans="1:8" ht="25.5" x14ac:dyDescent="0.2">
      <c r="A211" s="28" t="s">
        <v>20</v>
      </c>
      <c r="B211" s="24" t="s">
        <v>33</v>
      </c>
      <c r="C211" s="24" t="s">
        <v>28</v>
      </c>
      <c r="D211" s="24" t="s">
        <v>335</v>
      </c>
      <c r="E211" s="25" t="s">
        <v>12</v>
      </c>
      <c r="F211" s="26">
        <f>845.2+230</f>
        <v>1075.2</v>
      </c>
      <c r="G211" s="26">
        <f>845.2+230+42.8</f>
        <v>1118</v>
      </c>
      <c r="H211" s="26">
        <f>845.2+230+82.8</f>
        <v>1158</v>
      </c>
    </row>
    <row r="212" spans="1:8" x14ac:dyDescent="0.2">
      <c r="A212" s="28" t="s">
        <v>16</v>
      </c>
      <c r="B212" s="24" t="s">
        <v>33</v>
      </c>
      <c r="C212" s="24" t="s">
        <v>28</v>
      </c>
      <c r="D212" s="24" t="s">
        <v>335</v>
      </c>
      <c r="E212" s="24" t="s">
        <v>17</v>
      </c>
      <c r="F212" s="26">
        <f>39</f>
        <v>39</v>
      </c>
      <c r="G212" s="26">
        <f>39</f>
        <v>39</v>
      </c>
      <c r="H212" s="26">
        <f>39</f>
        <v>39</v>
      </c>
    </row>
    <row r="213" spans="1:8" ht="25.5" x14ac:dyDescent="0.2">
      <c r="A213" s="10" t="s">
        <v>341</v>
      </c>
      <c r="B213" s="8" t="s">
        <v>33</v>
      </c>
      <c r="C213" s="8" t="s">
        <v>28</v>
      </c>
      <c r="D213" s="8" t="s">
        <v>340</v>
      </c>
      <c r="E213" s="8"/>
      <c r="F213" s="9">
        <f>F215+F214</f>
        <v>317</v>
      </c>
      <c r="G213" s="9">
        <f>G215+G214</f>
        <v>317</v>
      </c>
      <c r="H213" s="9">
        <f>H215+H214</f>
        <v>317</v>
      </c>
    </row>
    <row r="214" spans="1:8" x14ac:dyDescent="0.2">
      <c r="A214" s="28" t="s">
        <v>13</v>
      </c>
      <c r="B214" s="24" t="s">
        <v>33</v>
      </c>
      <c r="C214" s="24" t="s">
        <v>28</v>
      </c>
      <c r="D214" s="8" t="s">
        <v>340</v>
      </c>
      <c r="E214" s="24" t="s">
        <v>14</v>
      </c>
      <c r="F214" s="26">
        <v>6</v>
      </c>
      <c r="G214" s="26">
        <v>6</v>
      </c>
      <c r="H214" s="26">
        <v>6</v>
      </c>
    </row>
    <row r="215" spans="1:8" ht="25.5" x14ac:dyDescent="0.2">
      <c r="A215" s="28" t="s">
        <v>286</v>
      </c>
      <c r="B215" s="24" t="s">
        <v>33</v>
      </c>
      <c r="C215" s="24" t="s">
        <v>28</v>
      </c>
      <c r="D215" s="8" t="s">
        <v>340</v>
      </c>
      <c r="E215" s="24" t="s">
        <v>8</v>
      </c>
      <c r="F215" s="26">
        <v>311</v>
      </c>
      <c r="G215" s="26">
        <v>311</v>
      </c>
      <c r="H215" s="26">
        <v>311</v>
      </c>
    </row>
    <row r="216" spans="1:8" x14ac:dyDescent="0.2">
      <c r="A216" s="14" t="s">
        <v>455</v>
      </c>
      <c r="B216" s="11" t="s">
        <v>33</v>
      </c>
      <c r="C216" s="11" t="s">
        <v>30</v>
      </c>
      <c r="D216" s="11"/>
      <c r="E216" s="11"/>
      <c r="F216" s="12">
        <f>F217+F219+F222+F224</f>
        <v>129468.8</v>
      </c>
      <c r="G216" s="12">
        <f t="shared" ref="G216:H216" si="37">G217+G219+G222+G224</f>
        <v>126528.8</v>
      </c>
      <c r="H216" s="12">
        <f t="shared" si="37"/>
        <v>129568.8</v>
      </c>
    </row>
    <row r="217" spans="1:8" s="7" customFormat="1" ht="25.5" x14ac:dyDescent="0.2">
      <c r="A217" s="5" t="s">
        <v>219</v>
      </c>
      <c r="B217" s="8" t="s">
        <v>33</v>
      </c>
      <c r="C217" s="8" t="s">
        <v>30</v>
      </c>
      <c r="D217" s="8" t="s">
        <v>218</v>
      </c>
      <c r="E217" s="1"/>
      <c r="F217" s="2">
        <f>F218</f>
        <v>20</v>
      </c>
      <c r="G217" s="2">
        <f>G218</f>
        <v>20</v>
      </c>
      <c r="H217" s="2">
        <f>H218</f>
        <v>20</v>
      </c>
    </row>
    <row r="218" spans="1:8" s="27" customFormat="1" ht="25.5" x14ac:dyDescent="0.2">
      <c r="A218" s="28" t="s">
        <v>286</v>
      </c>
      <c r="B218" s="24" t="s">
        <v>33</v>
      </c>
      <c r="C218" s="24" t="s">
        <v>30</v>
      </c>
      <c r="D218" s="24" t="s">
        <v>218</v>
      </c>
      <c r="E218" s="24" t="s">
        <v>8</v>
      </c>
      <c r="F218" s="26">
        <v>20</v>
      </c>
      <c r="G218" s="26">
        <v>20</v>
      </c>
      <c r="H218" s="26">
        <v>20</v>
      </c>
    </row>
    <row r="219" spans="1:8" ht="52.5" customHeight="1" x14ac:dyDescent="0.2">
      <c r="A219" s="10" t="s">
        <v>324</v>
      </c>
      <c r="B219" s="8" t="s">
        <v>33</v>
      </c>
      <c r="C219" s="8" t="s">
        <v>30</v>
      </c>
      <c r="D219" s="8" t="s">
        <v>323</v>
      </c>
      <c r="E219" s="8"/>
      <c r="F219" s="9">
        <f>F221+F220</f>
        <v>104733.40000000001</v>
      </c>
      <c r="G219" s="9">
        <f>G221+G220</f>
        <v>101793.40000000001</v>
      </c>
      <c r="H219" s="9">
        <f>H221+H220</f>
        <v>104833.40000000001</v>
      </c>
    </row>
    <row r="220" spans="1:8" s="27" customFormat="1" x14ac:dyDescent="0.2">
      <c r="A220" s="28" t="s">
        <v>13</v>
      </c>
      <c r="B220" s="24" t="s">
        <v>33</v>
      </c>
      <c r="C220" s="24" t="s">
        <v>30</v>
      </c>
      <c r="D220" s="24" t="s">
        <v>323</v>
      </c>
      <c r="E220" s="25" t="s">
        <v>14</v>
      </c>
      <c r="F220" s="26">
        <f>30</f>
        <v>30</v>
      </c>
      <c r="G220" s="26">
        <f>30</f>
        <v>30</v>
      </c>
      <c r="H220" s="26">
        <f>30</f>
        <v>30</v>
      </c>
    </row>
    <row r="221" spans="1:8" ht="25.5" x14ac:dyDescent="0.2">
      <c r="A221" s="28" t="s">
        <v>286</v>
      </c>
      <c r="B221" s="24" t="s">
        <v>33</v>
      </c>
      <c r="C221" s="24" t="s">
        <v>30</v>
      </c>
      <c r="D221" s="24" t="s">
        <v>323</v>
      </c>
      <c r="E221" s="24" t="s">
        <v>8</v>
      </c>
      <c r="F221" s="26">
        <f>14798.8+89904.6</f>
        <v>104703.40000000001</v>
      </c>
      <c r="G221" s="26">
        <f>14798.8+86964.6</f>
        <v>101763.40000000001</v>
      </c>
      <c r="H221" s="26">
        <f>14798.8+90004.6</f>
        <v>104803.40000000001</v>
      </c>
    </row>
    <row r="222" spans="1:8" ht="25.5" x14ac:dyDescent="0.2">
      <c r="A222" s="10" t="s">
        <v>334</v>
      </c>
      <c r="B222" s="8" t="s">
        <v>33</v>
      </c>
      <c r="C222" s="8" t="s">
        <v>30</v>
      </c>
      <c r="D222" s="8" t="s">
        <v>333</v>
      </c>
      <c r="E222" s="8"/>
      <c r="F222" s="9">
        <f>F223</f>
        <v>132.9</v>
      </c>
      <c r="G222" s="9">
        <f>G223</f>
        <v>132.9</v>
      </c>
      <c r="H222" s="9">
        <f>H223</f>
        <v>132.9</v>
      </c>
    </row>
    <row r="223" spans="1:8" ht="25.5" x14ac:dyDescent="0.2">
      <c r="A223" s="28" t="s">
        <v>286</v>
      </c>
      <c r="B223" s="24" t="s">
        <v>33</v>
      </c>
      <c r="C223" s="24" t="s">
        <v>30</v>
      </c>
      <c r="D223" s="24" t="s">
        <v>333</v>
      </c>
      <c r="E223" s="24" t="s">
        <v>8</v>
      </c>
      <c r="F223" s="26">
        <f>108.7+24.2</f>
        <v>132.9</v>
      </c>
      <c r="G223" s="26">
        <f t="shared" ref="G223:H223" si="38">108.7+24.2</f>
        <v>132.9</v>
      </c>
      <c r="H223" s="26">
        <f t="shared" si="38"/>
        <v>132.9</v>
      </c>
    </row>
    <row r="224" spans="1:8" ht="25.5" x14ac:dyDescent="0.2">
      <c r="A224" s="10" t="s">
        <v>338</v>
      </c>
      <c r="B224" s="8" t="s">
        <v>33</v>
      </c>
      <c r="C224" s="8" t="s">
        <v>30</v>
      </c>
      <c r="D224" s="8" t="s">
        <v>337</v>
      </c>
      <c r="E224" s="8"/>
      <c r="F224" s="9">
        <f>F225</f>
        <v>24582.5</v>
      </c>
      <c r="G224" s="9">
        <f>G225</f>
        <v>24582.5</v>
      </c>
      <c r="H224" s="9">
        <f>H225</f>
        <v>24582.5</v>
      </c>
    </row>
    <row r="225" spans="1:8" ht="25.5" x14ac:dyDescent="0.2">
      <c r="A225" s="28" t="s">
        <v>286</v>
      </c>
      <c r="B225" s="24" t="s">
        <v>33</v>
      </c>
      <c r="C225" s="24" t="s">
        <v>30</v>
      </c>
      <c r="D225" s="24" t="s">
        <v>337</v>
      </c>
      <c r="E225" s="24" t="s">
        <v>8</v>
      </c>
      <c r="F225" s="26">
        <v>24582.5</v>
      </c>
      <c r="G225" s="26">
        <v>24582.5</v>
      </c>
      <c r="H225" s="26">
        <v>24582.5</v>
      </c>
    </row>
    <row r="226" spans="1:8" x14ac:dyDescent="0.2">
      <c r="A226" s="14" t="s">
        <v>52</v>
      </c>
      <c r="B226" s="11" t="s">
        <v>33</v>
      </c>
      <c r="C226" s="11" t="s">
        <v>33</v>
      </c>
      <c r="D226" s="11"/>
      <c r="E226" s="11"/>
      <c r="F226" s="12">
        <f>F227</f>
        <v>254.8</v>
      </c>
      <c r="G226" s="12">
        <f t="shared" ref="G226:H226" si="39">G227</f>
        <v>254.8</v>
      </c>
      <c r="H226" s="12">
        <f t="shared" si="39"/>
        <v>254.8</v>
      </c>
    </row>
    <row r="227" spans="1:8" ht="25.5" x14ac:dyDescent="0.2">
      <c r="A227" s="10" t="s">
        <v>344</v>
      </c>
      <c r="B227" s="8" t="s">
        <v>33</v>
      </c>
      <c r="C227" s="8" t="s">
        <v>33</v>
      </c>
      <c r="D227" s="8" t="s">
        <v>343</v>
      </c>
      <c r="E227" s="8"/>
      <c r="F227" s="9">
        <f>F228+F229</f>
        <v>254.8</v>
      </c>
      <c r="G227" s="9">
        <f t="shared" ref="G227:H227" si="40">G228+G229</f>
        <v>254.8</v>
      </c>
      <c r="H227" s="9">
        <f t="shared" si="40"/>
        <v>254.8</v>
      </c>
    </row>
    <row r="228" spans="1:8" ht="25.5" x14ac:dyDescent="0.2">
      <c r="A228" s="28" t="s">
        <v>20</v>
      </c>
      <c r="B228" s="24" t="s">
        <v>33</v>
      </c>
      <c r="C228" s="24" t="s">
        <v>33</v>
      </c>
      <c r="D228" s="24" t="s">
        <v>343</v>
      </c>
      <c r="E228" s="25" t="s">
        <v>12</v>
      </c>
      <c r="F228" s="26">
        <f>208.8</f>
        <v>208.8</v>
      </c>
      <c r="G228" s="26">
        <f t="shared" ref="G228:H228" si="41">208.8</f>
        <v>208.8</v>
      </c>
      <c r="H228" s="26">
        <f t="shared" si="41"/>
        <v>208.8</v>
      </c>
    </row>
    <row r="229" spans="1:8" x14ac:dyDescent="0.2">
      <c r="A229" s="28" t="s">
        <v>13</v>
      </c>
      <c r="B229" s="24" t="s">
        <v>33</v>
      </c>
      <c r="C229" s="24" t="s">
        <v>33</v>
      </c>
      <c r="D229" s="24" t="s">
        <v>343</v>
      </c>
      <c r="E229" s="25" t="s">
        <v>14</v>
      </c>
      <c r="F229" s="26">
        <f>46</f>
        <v>46</v>
      </c>
      <c r="G229" s="26">
        <f>46</f>
        <v>46</v>
      </c>
      <c r="H229" s="26">
        <f>46</f>
        <v>46</v>
      </c>
    </row>
    <row r="230" spans="1:8" x14ac:dyDescent="0.2">
      <c r="A230" s="14" t="s">
        <v>53</v>
      </c>
      <c r="B230" s="11" t="s">
        <v>33</v>
      </c>
      <c r="C230" s="11" t="s">
        <v>39</v>
      </c>
      <c r="D230" s="11"/>
      <c r="E230" s="11"/>
      <c r="F230" s="12">
        <f>F233+F236+F238+F241+F245+F247+F250+F252+F255+F257+F231</f>
        <v>51984.6</v>
      </c>
      <c r="G230" s="12">
        <f t="shared" ref="G230:H230" si="42">G233+G236+G238+G241+G245+G247+G250+G252+G255+G257+G231</f>
        <v>56284.6</v>
      </c>
      <c r="H230" s="12">
        <f t="shared" si="42"/>
        <v>51284.6</v>
      </c>
    </row>
    <row r="231" spans="1:8" x14ac:dyDescent="0.2">
      <c r="A231" s="10" t="s">
        <v>275</v>
      </c>
      <c r="B231" s="8" t="s">
        <v>33</v>
      </c>
      <c r="C231" s="8" t="s">
        <v>39</v>
      </c>
      <c r="D231" s="24" t="s">
        <v>272</v>
      </c>
      <c r="E231" s="8"/>
      <c r="F231" s="9">
        <f>F232</f>
        <v>0</v>
      </c>
      <c r="G231" s="9">
        <f>G232</f>
        <v>5000</v>
      </c>
      <c r="H231" s="9">
        <f>H232</f>
        <v>0</v>
      </c>
    </row>
    <row r="232" spans="1:8" ht="25.5" x14ac:dyDescent="0.2">
      <c r="A232" s="28" t="s">
        <v>78</v>
      </c>
      <c r="B232" s="8" t="s">
        <v>33</v>
      </c>
      <c r="C232" s="8" t="s">
        <v>39</v>
      </c>
      <c r="D232" s="24" t="s">
        <v>272</v>
      </c>
      <c r="E232" s="24" t="s">
        <v>15</v>
      </c>
      <c r="F232" s="26">
        <v>0</v>
      </c>
      <c r="G232" s="26">
        <v>5000</v>
      </c>
      <c r="H232" s="26">
        <v>0</v>
      </c>
    </row>
    <row r="233" spans="1:8" ht="25.5" x14ac:dyDescent="0.2">
      <c r="A233" s="10" t="s">
        <v>345</v>
      </c>
      <c r="B233" s="1" t="s">
        <v>33</v>
      </c>
      <c r="C233" s="1" t="s">
        <v>39</v>
      </c>
      <c r="D233" s="1" t="s">
        <v>130</v>
      </c>
      <c r="E233" s="8"/>
      <c r="F233" s="9">
        <f>F234+F235</f>
        <v>2419</v>
      </c>
      <c r="G233" s="9">
        <f>G234+G235</f>
        <v>2419</v>
      </c>
      <c r="H233" s="9">
        <f>H234+H235</f>
        <v>2419</v>
      </c>
    </row>
    <row r="234" spans="1:8" ht="51" x14ac:dyDescent="0.2">
      <c r="A234" s="29" t="s">
        <v>9</v>
      </c>
      <c r="B234" s="24" t="s">
        <v>33</v>
      </c>
      <c r="C234" s="24" t="s">
        <v>39</v>
      </c>
      <c r="D234" s="24" t="s">
        <v>130</v>
      </c>
      <c r="E234" s="25" t="s">
        <v>10</v>
      </c>
      <c r="F234" s="26">
        <f>1464.5+442.3+2</f>
        <v>1908.8</v>
      </c>
      <c r="G234" s="26">
        <f>1464.5+442.3+2</f>
        <v>1908.8</v>
      </c>
      <c r="H234" s="26">
        <f>1464.5+442.3+2</f>
        <v>1908.8</v>
      </c>
    </row>
    <row r="235" spans="1:8" ht="25.5" x14ac:dyDescent="0.2">
      <c r="A235" s="28" t="s">
        <v>20</v>
      </c>
      <c r="B235" s="24" t="s">
        <v>33</v>
      </c>
      <c r="C235" s="24" t="s">
        <v>39</v>
      </c>
      <c r="D235" s="24" t="s">
        <v>130</v>
      </c>
      <c r="E235" s="25" t="s">
        <v>12</v>
      </c>
      <c r="F235" s="26">
        <f>510.2</f>
        <v>510.2</v>
      </c>
      <c r="G235" s="26">
        <f>510.2</f>
        <v>510.2</v>
      </c>
      <c r="H235" s="26">
        <f>510.2</f>
        <v>510.2</v>
      </c>
    </row>
    <row r="236" spans="1:8" ht="63.75" x14ac:dyDescent="0.2">
      <c r="A236" s="10" t="s">
        <v>347</v>
      </c>
      <c r="B236" s="8" t="s">
        <v>33</v>
      </c>
      <c r="C236" s="8" t="s">
        <v>39</v>
      </c>
      <c r="D236" s="8" t="s">
        <v>346</v>
      </c>
      <c r="E236" s="8"/>
      <c r="F236" s="9">
        <f>F237</f>
        <v>3360</v>
      </c>
      <c r="G236" s="9">
        <f>G237</f>
        <v>3360</v>
      </c>
      <c r="H236" s="9">
        <f>H237</f>
        <v>3360</v>
      </c>
    </row>
    <row r="237" spans="1:8" ht="25.5" x14ac:dyDescent="0.2">
      <c r="A237" s="28" t="s">
        <v>286</v>
      </c>
      <c r="B237" s="24" t="s">
        <v>33</v>
      </c>
      <c r="C237" s="24" t="s">
        <v>39</v>
      </c>
      <c r="D237" s="24" t="s">
        <v>346</v>
      </c>
      <c r="E237" s="24" t="s">
        <v>8</v>
      </c>
      <c r="F237" s="26">
        <v>3360</v>
      </c>
      <c r="G237" s="26">
        <v>3360</v>
      </c>
      <c r="H237" s="26">
        <v>3360</v>
      </c>
    </row>
    <row r="238" spans="1:8" ht="25.5" x14ac:dyDescent="0.2">
      <c r="A238" s="10" t="s">
        <v>349</v>
      </c>
      <c r="B238" s="8" t="s">
        <v>33</v>
      </c>
      <c r="C238" s="8" t="s">
        <v>39</v>
      </c>
      <c r="D238" s="8" t="s">
        <v>143</v>
      </c>
      <c r="E238" s="8"/>
      <c r="F238" s="9">
        <f>F239+F240</f>
        <v>270.5</v>
      </c>
      <c r="G238" s="9">
        <f>G239+G240</f>
        <v>270.5</v>
      </c>
      <c r="H238" s="9">
        <f>H239+H240</f>
        <v>270.5</v>
      </c>
    </row>
    <row r="239" spans="1:8" ht="25.5" x14ac:dyDescent="0.2">
      <c r="A239" s="28" t="s">
        <v>20</v>
      </c>
      <c r="B239" s="24" t="s">
        <v>33</v>
      </c>
      <c r="C239" s="24" t="s">
        <v>39</v>
      </c>
      <c r="D239" s="24" t="s">
        <v>348</v>
      </c>
      <c r="E239" s="24" t="s">
        <v>12</v>
      </c>
      <c r="F239" s="26">
        <v>76.599999999999994</v>
      </c>
      <c r="G239" s="26">
        <v>76.599999999999994</v>
      </c>
      <c r="H239" s="26">
        <v>76.599999999999994</v>
      </c>
    </row>
    <row r="240" spans="1:8" s="27" customFormat="1" ht="25.5" x14ac:dyDescent="0.2">
      <c r="A240" s="28" t="s">
        <v>286</v>
      </c>
      <c r="B240" s="24" t="s">
        <v>33</v>
      </c>
      <c r="C240" s="24" t="s">
        <v>39</v>
      </c>
      <c r="D240" s="24" t="s">
        <v>348</v>
      </c>
      <c r="E240" s="24" t="s">
        <v>8</v>
      </c>
      <c r="F240" s="26">
        <v>193.9</v>
      </c>
      <c r="G240" s="26">
        <v>193.9</v>
      </c>
      <c r="H240" s="26">
        <v>193.9</v>
      </c>
    </row>
    <row r="241" spans="1:8" ht="25.5" x14ac:dyDescent="0.2">
      <c r="A241" s="10" t="s">
        <v>334</v>
      </c>
      <c r="B241" s="8" t="s">
        <v>33</v>
      </c>
      <c r="C241" s="8" t="s">
        <v>39</v>
      </c>
      <c r="D241" s="8" t="s">
        <v>333</v>
      </c>
      <c r="E241" s="8"/>
      <c r="F241" s="9">
        <f>F244+F243+F242</f>
        <v>1556.8</v>
      </c>
      <c r="G241" s="9">
        <f t="shared" ref="G241:H241" si="43">G244+G243+G242</f>
        <v>1556.8</v>
      </c>
      <c r="H241" s="9">
        <f t="shared" si="43"/>
        <v>1556.8</v>
      </c>
    </row>
    <row r="242" spans="1:8" ht="25.5" x14ac:dyDescent="0.2">
      <c r="A242" s="28" t="s">
        <v>20</v>
      </c>
      <c r="B242" s="24" t="s">
        <v>33</v>
      </c>
      <c r="C242" s="24" t="s">
        <v>39</v>
      </c>
      <c r="D242" s="24" t="s">
        <v>333</v>
      </c>
      <c r="E242" s="24" t="s">
        <v>12</v>
      </c>
      <c r="F242" s="26">
        <v>2</v>
      </c>
      <c r="G242" s="26">
        <v>2</v>
      </c>
      <c r="H242" s="26">
        <v>2</v>
      </c>
    </row>
    <row r="243" spans="1:8" x14ac:dyDescent="0.2">
      <c r="A243" s="28" t="s">
        <v>13</v>
      </c>
      <c r="B243" s="24" t="s">
        <v>33</v>
      </c>
      <c r="C243" s="24" t="s">
        <v>39</v>
      </c>
      <c r="D243" s="24" t="s">
        <v>333</v>
      </c>
      <c r="E243" s="24" t="s">
        <v>14</v>
      </c>
      <c r="F243" s="26">
        <v>1177.8</v>
      </c>
      <c r="G243" s="26">
        <v>1177.8</v>
      </c>
      <c r="H243" s="26">
        <v>1177.8</v>
      </c>
    </row>
    <row r="244" spans="1:8" ht="25.5" x14ac:dyDescent="0.2">
      <c r="A244" s="28" t="s">
        <v>286</v>
      </c>
      <c r="B244" s="24" t="s">
        <v>33</v>
      </c>
      <c r="C244" s="24" t="s">
        <v>39</v>
      </c>
      <c r="D244" s="24" t="s">
        <v>333</v>
      </c>
      <c r="E244" s="24" t="s">
        <v>8</v>
      </c>
      <c r="F244" s="26">
        <v>377</v>
      </c>
      <c r="G244" s="26">
        <v>377</v>
      </c>
      <c r="H244" s="26">
        <v>377</v>
      </c>
    </row>
    <row r="245" spans="1:8" ht="25.5" x14ac:dyDescent="0.2">
      <c r="A245" s="10" t="s">
        <v>450</v>
      </c>
      <c r="B245" s="8" t="s">
        <v>33</v>
      </c>
      <c r="C245" s="8" t="s">
        <v>39</v>
      </c>
      <c r="D245" s="8" t="s">
        <v>451</v>
      </c>
      <c r="E245" s="8"/>
      <c r="F245" s="9">
        <f>F246</f>
        <v>1130.2</v>
      </c>
      <c r="G245" s="9">
        <f t="shared" ref="G245:H245" si="44">G246</f>
        <v>1130.2</v>
      </c>
      <c r="H245" s="9">
        <f t="shared" si="44"/>
        <v>1130.2</v>
      </c>
    </row>
    <row r="246" spans="1:8" ht="25.5" x14ac:dyDescent="0.2">
      <c r="A246" s="28" t="s">
        <v>286</v>
      </c>
      <c r="B246" s="24" t="s">
        <v>33</v>
      </c>
      <c r="C246" s="24" t="s">
        <v>39</v>
      </c>
      <c r="D246" s="24" t="s">
        <v>451</v>
      </c>
      <c r="E246" s="25" t="s">
        <v>8</v>
      </c>
      <c r="F246" s="26">
        <v>1130.2</v>
      </c>
      <c r="G246" s="26">
        <v>1130.2</v>
      </c>
      <c r="H246" s="26">
        <v>1130.2</v>
      </c>
    </row>
    <row r="247" spans="1:8" ht="38.25" x14ac:dyDescent="0.2">
      <c r="A247" s="10" t="s">
        <v>351</v>
      </c>
      <c r="B247" s="8" t="s">
        <v>33</v>
      </c>
      <c r="C247" s="8" t="s">
        <v>39</v>
      </c>
      <c r="D247" s="8" t="s">
        <v>350</v>
      </c>
      <c r="E247" s="8"/>
      <c r="F247" s="9">
        <f>F248+F249</f>
        <v>448</v>
      </c>
      <c r="G247" s="9">
        <f>G248+G249</f>
        <v>448</v>
      </c>
      <c r="H247" s="9">
        <f>H248+H249</f>
        <v>448</v>
      </c>
    </row>
    <row r="248" spans="1:8" ht="51" x14ac:dyDescent="0.2">
      <c r="A248" s="23" t="s">
        <v>9</v>
      </c>
      <c r="B248" s="24" t="s">
        <v>33</v>
      </c>
      <c r="C248" s="24" t="s">
        <v>39</v>
      </c>
      <c r="D248" s="24" t="s">
        <v>350</v>
      </c>
      <c r="E248" s="25" t="s">
        <v>10</v>
      </c>
      <c r="F248" s="26">
        <v>26.2</v>
      </c>
      <c r="G248" s="26">
        <v>26.2</v>
      </c>
      <c r="H248" s="26">
        <v>26.2</v>
      </c>
    </row>
    <row r="249" spans="1:8" ht="25.5" x14ac:dyDescent="0.2">
      <c r="A249" s="28" t="s">
        <v>286</v>
      </c>
      <c r="B249" s="24" t="s">
        <v>33</v>
      </c>
      <c r="C249" s="24" t="s">
        <v>39</v>
      </c>
      <c r="D249" s="24" t="s">
        <v>350</v>
      </c>
      <c r="E249" s="24" t="s">
        <v>8</v>
      </c>
      <c r="F249" s="26">
        <v>421.8</v>
      </c>
      <c r="G249" s="26">
        <v>421.8</v>
      </c>
      <c r="H249" s="26">
        <v>421.8</v>
      </c>
    </row>
    <row r="250" spans="1:8" ht="25.5" x14ac:dyDescent="0.2">
      <c r="A250" s="10" t="s">
        <v>353</v>
      </c>
      <c r="B250" s="8" t="s">
        <v>33</v>
      </c>
      <c r="C250" s="8" t="s">
        <v>39</v>
      </c>
      <c r="D250" s="8" t="s">
        <v>352</v>
      </c>
      <c r="E250" s="8"/>
      <c r="F250" s="9">
        <f>F251</f>
        <v>785.2</v>
      </c>
      <c r="G250" s="9">
        <f>G251</f>
        <v>785.2</v>
      </c>
      <c r="H250" s="9">
        <f>H251</f>
        <v>785.2</v>
      </c>
    </row>
    <row r="251" spans="1:8" ht="25.5" x14ac:dyDescent="0.2">
      <c r="A251" s="28" t="s">
        <v>286</v>
      </c>
      <c r="B251" s="24" t="s">
        <v>33</v>
      </c>
      <c r="C251" s="24" t="s">
        <v>39</v>
      </c>
      <c r="D251" s="24" t="s">
        <v>352</v>
      </c>
      <c r="E251" s="24" t="s">
        <v>8</v>
      </c>
      <c r="F251" s="26">
        <v>785.2</v>
      </c>
      <c r="G251" s="26">
        <v>785.2</v>
      </c>
      <c r="H251" s="26">
        <v>785.2</v>
      </c>
    </row>
    <row r="252" spans="1:8" ht="25.5" x14ac:dyDescent="0.2">
      <c r="A252" s="10" t="s">
        <v>355</v>
      </c>
      <c r="B252" s="8" t="s">
        <v>33</v>
      </c>
      <c r="C252" s="8" t="s">
        <v>39</v>
      </c>
      <c r="D252" s="8" t="s">
        <v>354</v>
      </c>
      <c r="E252" s="8"/>
      <c r="F252" s="9">
        <f>F253+F254</f>
        <v>2406.1</v>
      </c>
      <c r="G252" s="9">
        <f>G253+G254</f>
        <v>2406.1</v>
      </c>
      <c r="H252" s="9">
        <f>H253+H254</f>
        <v>2406.1</v>
      </c>
    </row>
    <row r="253" spans="1:8" ht="51" x14ac:dyDescent="0.2">
      <c r="A253" s="23" t="s">
        <v>9</v>
      </c>
      <c r="B253" s="24" t="s">
        <v>33</v>
      </c>
      <c r="C253" s="24" t="s">
        <v>39</v>
      </c>
      <c r="D253" s="24" t="s">
        <v>354</v>
      </c>
      <c r="E253" s="25" t="s">
        <v>10</v>
      </c>
      <c r="F253" s="26">
        <v>2350.1</v>
      </c>
      <c r="G253" s="26">
        <v>2350.1</v>
      </c>
      <c r="H253" s="26">
        <v>2350.1</v>
      </c>
    </row>
    <row r="254" spans="1:8" ht="25.5" x14ac:dyDescent="0.2">
      <c r="A254" s="28" t="s">
        <v>20</v>
      </c>
      <c r="B254" s="24" t="s">
        <v>33</v>
      </c>
      <c r="C254" s="24" t="s">
        <v>39</v>
      </c>
      <c r="D254" s="24" t="s">
        <v>354</v>
      </c>
      <c r="E254" s="25" t="s">
        <v>12</v>
      </c>
      <c r="F254" s="26">
        <v>56</v>
      </c>
      <c r="G254" s="26">
        <v>56</v>
      </c>
      <c r="H254" s="26">
        <v>56</v>
      </c>
    </row>
    <row r="255" spans="1:8" ht="25.5" x14ac:dyDescent="0.2">
      <c r="A255" s="10" t="s">
        <v>357</v>
      </c>
      <c r="B255" s="8" t="s">
        <v>33</v>
      </c>
      <c r="C255" s="8" t="s">
        <v>39</v>
      </c>
      <c r="D255" s="8" t="s">
        <v>356</v>
      </c>
      <c r="E255" s="8"/>
      <c r="F255" s="9">
        <f>F256</f>
        <v>11926.3</v>
      </c>
      <c r="G255" s="9">
        <f>G256</f>
        <v>11926.3</v>
      </c>
      <c r="H255" s="9">
        <f>H256</f>
        <v>11926.3</v>
      </c>
    </row>
    <row r="256" spans="1:8" ht="25.5" x14ac:dyDescent="0.2">
      <c r="A256" s="28" t="s">
        <v>286</v>
      </c>
      <c r="B256" s="24" t="s">
        <v>33</v>
      </c>
      <c r="C256" s="24" t="s">
        <v>39</v>
      </c>
      <c r="D256" s="24" t="s">
        <v>356</v>
      </c>
      <c r="E256" s="24" t="s">
        <v>8</v>
      </c>
      <c r="F256" s="26">
        <v>11926.3</v>
      </c>
      <c r="G256" s="26">
        <v>11926.3</v>
      </c>
      <c r="H256" s="26">
        <v>11926.3</v>
      </c>
    </row>
    <row r="257" spans="1:8" ht="38.25" x14ac:dyDescent="0.2">
      <c r="A257" s="10" t="s">
        <v>359</v>
      </c>
      <c r="B257" s="8" t="s">
        <v>33</v>
      </c>
      <c r="C257" s="8" t="s">
        <v>39</v>
      </c>
      <c r="D257" s="8" t="s">
        <v>358</v>
      </c>
      <c r="E257" s="8"/>
      <c r="F257" s="9">
        <f>F258+F259+F260+F261</f>
        <v>27682.5</v>
      </c>
      <c r="G257" s="9">
        <f>G258+G259+G260+G261</f>
        <v>26982.5</v>
      </c>
      <c r="H257" s="9">
        <f>H258+H259+H260+H261</f>
        <v>26982.5</v>
      </c>
    </row>
    <row r="258" spans="1:8" ht="51" x14ac:dyDescent="0.2">
      <c r="A258" s="23" t="s">
        <v>9</v>
      </c>
      <c r="B258" s="24" t="s">
        <v>33</v>
      </c>
      <c r="C258" s="24" t="s">
        <v>39</v>
      </c>
      <c r="D258" s="24" t="s">
        <v>358</v>
      </c>
      <c r="E258" s="25" t="s">
        <v>10</v>
      </c>
      <c r="F258" s="26">
        <v>3908.7</v>
      </c>
      <c r="G258" s="26">
        <v>3908.7</v>
      </c>
      <c r="H258" s="26">
        <v>3908.7</v>
      </c>
    </row>
    <row r="259" spans="1:8" ht="25.5" x14ac:dyDescent="0.2">
      <c r="A259" s="28" t="s">
        <v>20</v>
      </c>
      <c r="B259" s="24" t="s">
        <v>33</v>
      </c>
      <c r="C259" s="24" t="s">
        <v>39</v>
      </c>
      <c r="D259" s="24" t="s">
        <v>358</v>
      </c>
      <c r="E259" s="25" t="s">
        <v>12</v>
      </c>
      <c r="F259" s="26">
        <v>387</v>
      </c>
      <c r="G259" s="26">
        <v>387</v>
      </c>
      <c r="H259" s="26">
        <v>387</v>
      </c>
    </row>
    <row r="260" spans="1:8" ht="25.5" x14ac:dyDescent="0.2">
      <c r="A260" s="28" t="s">
        <v>286</v>
      </c>
      <c r="B260" s="24" t="s">
        <v>33</v>
      </c>
      <c r="C260" s="24" t="s">
        <v>39</v>
      </c>
      <c r="D260" s="24" t="s">
        <v>358</v>
      </c>
      <c r="E260" s="24" t="s">
        <v>8</v>
      </c>
      <c r="F260" s="26">
        <v>23136.799999999999</v>
      </c>
      <c r="G260" s="26">
        <v>22436.799999999999</v>
      </c>
      <c r="H260" s="26">
        <v>22436.799999999999</v>
      </c>
    </row>
    <row r="261" spans="1:8" x14ac:dyDescent="0.2">
      <c r="A261" s="28" t="s">
        <v>16</v>
      </c>
      <c r="B261" s="24" t="s">
        <v>33</v>
      </c>
      <c r="C261" s="24" t="s">
        <v>39</v>
      </c>
      <c r="D261" s="24" t="s">
        <v>358</v>
      </c>
      <c r="E261" s="24" t="s">
        <v>17</v>
      </c>
      <c r="F261" s="26">
        <v>250</v>
      </c>
      <c r="G261" s="26">
        <v>250</v>
      </c>
      <c r="H261" s="26">
        <v>250</v>
      </c>
    </row>
    <row r="262" spans="1:8" ht="15.75" x14ac:dyDescent="0.25">
      <c r="A262" s="38" t="s">
        <v>63</v>
      </c>
      <c r="B262" s="36" t="s">
        <v>54</v>
      </c>
      <c r="C262" s="36" t="s">
        <v>26</v>
      </c>
      <c r="D262" s="36"/>
      <c r="E262" s="36"/>
      <c r="F262" s="37">
        <f>F263+F272</f>
        <v>42092.2</v>
      </c>
      <c r="G262" s="37">
        <f>G263+G272</f>
        <v>42092.2</v>
      </c>
      <c r="H262" s="37">
        <f>H263+H272</f>
        <v>42092.2</v>
      </c>
    </row>
    <row r="263" spans="1:8" x14ac:dyDescent="0.2">
      <c r="A263" s="14" t="s">
        <v>55</v>
      </c>
      <c r="B263" s="11" t="s">
        <v>54</v>
      </c>
      <c r="C263" s="11" t="s">
        <v>25</v>
      </c>
      <c r="D263" s="11"/>
      <c r="E263" s="11"/>
      <c r="F263" s="12">
        <f>F264+F267+F269</f>
        <v>39345.5</v>
      </c>
      <c r="G263" s="12">
        <f t="shared" ref="G263:H263" si="45">G264+G267+G269</f>
        <v>39345.5</v>
      </c>
      <c r="H263" s="12">
        <f t="shared" si="45"/>
        <v>39345.5</v>
      </c>
    </row>
    <row r="264" spans="1:8" x14ac:dyDescent="0.2">
      <c r="A264" s="10" t="s">
        <v>363</v>
      </c>
      <c r="B264" s="8" t="s">
        <v>54</v>
      </c>
      <c r="C264" s="8" t="s">
        <v>25</v>
      </c>
      <c r="D264" s="8" t="s">
        <v>362</v>
      </c>
      <c r="E264" s="8"/>
      <c r="F264" s="9">
        <f>F266+F265</f>
        <v>27815.9</v>
      </c>
      <c r="G264" s="9">
        <f>G266+G265</f>
        <v>27815.9</v>
      </c>
      <c r="H264" s="9">
        <f>H266+H265</f>
        <v>27815.9</v>
      </c>
    </row>
    <row r="265" spans="1:8" x14ac:dyDescent="0.2">
      <c r="A265" s="28" t="s">
        <v>13</v>
      </c>
      <c r="B265" s="24" t="s">
        <v>54</v>
      </c>
      <c r="C265" s="24" t="s">
        <v>25</v>
      </c>
      <c r="D265" s="24" t="s">
        <v>362</v>
      </c>
      <c r="E265" s="25" t="s">
        <v>14</v>
      </c>
      <c r="F265" s="26">
        <v>15</v>
      </c>
      <c r="G265" s="26">
        <v>15</v>
      </c>
      <c r="H265" s="26">
        <v>15</v>
      </c>
    </row>
    <row r="266" spans="1:8" ht="25.5" x14ac:dyDescent="0.2">
      <c r="A266" s="28" t="s">
        <v>286</v>
      </c>
      <c r="B266" s="24" t="s">
        <v>54</v>
      </c>
      <c r="C266" s="24" t="s">
        <v>25</v>
      </c>
      <c r="D266" s="24" t="s">
        <v>362</v>
      </c>
      <c r="E266" s="24" t="s">
        <v>8</v>
      </c>
      <c r="F266" s="26">
        <v>27800.9</v>
      </c>
      <c r="G266" s="26">
        <v>27800.9</v>
      </c>
      <c r="H266" s="26">
        <v>27800.9</v>
      </c>
    </row>
    <row r="267" spans="1:8" x14ac:dyDescent="0.2">
      <c r="A267" s="10" t="s">
        <v>365</v>
      </c>
      <c r="B267" s="8" t="s">
        <v>54</v>
      </c>
      <c r="C267" s="8" t="s">
        <v>25</v>
      </c>
      <c r="D267" s="8" t="s">
        <v>364</v>
      </c>
      <c r="E267" s="8"/>
      <c r="F267" s="9">
        <f>F268</f>
        <v>2172.8000000000002</v>
      </c>
      <c r="G267" s="9">
        <f>G268</f>
        <v>2172.8000000000002</v>
      </c>
      <c r="H267" s="9">
        <f>H268</f>
        <v>2172.8000000000002</v>
      </c>
    </row>
    <row r="268" spans="1:8" ht="25.5" x14ac:dyDescent="0.2">
      <c r="A268" s="28" t="s">
        <v>286</v>
      </c>
      <c r="B268" s="24" t="s">
        <v>54</v>
      </c>
      <c r="C268" s="24" t="s">
        <v>25</v>
      </c>
      <c r="D268" s="24" t="s">
        <v>364</v>
      </c>
      <c r="E268" s="24" t="s">
        <v>8</v>
      </c>
      <c r="F268" s="26">
        <v>2172.8000000000002</v>
      </c>
      <c r="G268" s="26">
        <v>2172.8000000000002</v>
      </c>
      <c r="H268" s="26">
        <v>2172.8000000000002</v>
      </c>
    </row>
    <row r="269" spans="1:8" x14ac:dyDescent="0.2">
      <c r="A269" s="10" t="s">
        <v>366</v>
      </c>
      <c r="B269" s="8" t="s">
        <v>54</v>
      </c>
      <c r="C269" s="8" t="s">
        <v>25</v>
      </c>
      <c r="D269" s="8" t="s">
        <v>367</v>
      </c>
      <c r="E269" s="8"/>
      <c r="F269" s="9">
        <f>F271+F270</f>
        <v>9356.7999999999993</v>
      </c>
      <c r="G269" s="9">
        <f>G271+G270</f>
        <v>9356.7999999999993</v>
      </c>
      <c r="H269" s="9">
        <f>H271+H270</f>
        <v>9356.7999999999993</v>
      </c>
    </row>
    <row r="270" spans="1:8" x14ac:dyDescent="0.2">
      <c r="A270" s="28" t="s">
        <v>13</v>
      </c>
      <c r="B270" s="24" t="s">
        <v>54</v>
      </c>
      <c r="C270" s="24" t="s">
        <v>25</v>
      </c>
      <c r="D270" s="24" t="s">
        <v>367</v>
      </c>
      <c r="E270" s="25" t="s">
        <v>14</v>
      </c>
      <c r="F270" s="26">
        <f>15</f>
        <v>15</v>
      </c>
      <c r="G270" s="26">
        <f>15</f>
        <v>15</v>
      </c>
      <c r="H270" s="26">
        <f>15</f>
        <v>15</v>
      </c>
    </row>
    <row r="271" spans="1:8" ht="25.5" x14ac:dyDescent="0.2">
      <c r="A271" s="28" t="s">
        <v>286</v>
      </c>
      <c r="B271" s="24" t="s">
        <v>54</v>
      </c>
      <c r="C271" s="24" t="s">
        <v>25</v>
      </c>
      <c r="D271" s="24" t="s">
        <v>367</v>
      </c>
      <c r="E271" s="24" t="s">
        <v>8</v>
      </c>
      <c r="F271" s="26">
        <f>9341.8</f>
        <v>9341.7999999999993</v>
      </c>
      <c r="G271" s="26">
        <f t="shared" ref="G271:H271" si="46">9341.8</f>
        <v>9341.7999999999993</v>
      </c>
      <c r="H271" s="26">
        <f t="shared" si="46"/>
        <v>9341.7999999999993</v>
      </c>
    </row>
    <row r="272" spans="1:8" x14ac:dyDescent="0.2">
      <c r="A272" s="14" t="s">
        <v>64</v>
      </c>
      <c r="B272" s="11" t="s">
        <v>54</v>
      </c>
      <c r="C272" s="11" t="s">
        <v>32</v>
      </c>
      <c r="D272" s="11"/>
      <c r="E272" s="11"/>
      <c r="F272" s="12">
        <f>F273+F277</f>
        <v>2746.7000000000003</v>
      </c>
      <c r="G272" s="12">
        <f>G273+G277</f>
        <v>2746.7000000000003</v>
      </c>
      <c r="H272" s="12">
        <f>H273+H277</f>
        <v>2746.7000000000003</v>
      </c>
    </row>
    <row r="273" spans="1:8" x14ac:dyDescent="0.2">
      <c r="A273" s="10" t="s">
        <v>369</v>
      </c>
      <c r="B273" s="8" t="s">
        <v>54</v>
      </c>
      <c r="C273" s="8" t="s">
        <v>32</v>
      </c>
      <c r="D273" s="8" t="s">
        <v>368</v>
      </c>
      <c r="E273" s="8"/>
      <c r="F273" s="9">
        <f>F274+F275+F276</f>
        <v>719.1</v>
      </c>
      <c r="G273" s="9">
        <f>G274+G275+G276</f>
        <v>719.1</v>
      </c>
      <c r="H273" s="9">
        <f>H274+H275+H276</f>
        <v>719.1</v>
      </c>
    </row>
    <row r="274" spans="1:8" ht="51" x14ac:dyDescent="0.2">
      <c r="A274" s="23" t="s">
        <v>9</v>
      </c>
      <c r="B274" s="24" t="s">
        <v>54</v>
      </c>
      <c r="C274" s="24" t="s">
        <v>32</v>
      </c>
      <c r="D274" s="24" t="s">
        <v>368</v>
      </c>
      <c r="E274" s="25" t="s">
        <v>10</v>
      </c>
      <c r="F274" s="26">
        <v>624.5</v>
      </c>
      <c r="G274" s="26">
        <v>624.5</v>
      </c>
      <c r="H274" s="26">
        <v>624.5</v>
      </c>
    </row>
    <row r="275" spans="1:8" ht="25.5" x14ac:dyDescent="0.2">
      <c r="A275" s="28" t="s">
        <v>20</v>
      </c>
      <c r="B275" s="24" t="s">
        <v>54</v>
      </c>
      <c r="C275" s="24" t="s">
        <v>32</v>
      </c>
      <c r="D275" s="24" t="s">
        <v>368</v>
      </c>
      <c r="E275" s="25" t="s">
        <v>12</v>
      </c>
      <c r="F275" s="26">
        <v>85.9</v>
      </c>
      <c r="G275" s="26">
        <v>85.9</v>
      </c>
      <c r="H275" s="26">
        <v>85.9</v>
      </c>
    </row>
    <row r="276" spans="1:8" x14ac:dyDescent="0.2">
      <c r="A276" s="28" t="s">
        <v>16</v>
      </c>
      <c r="B276" s="24" t="s">
        <v>54</v>
      </c>
      <c r="C276" s="24" t="s">
        <v>32</v>
      </c>
      <c r="D276" s="24" t="s">
        <v>368</v>
      </c>
      <c r="E276" s="24" t="s">
        <v>17</v>
      </c>
      <c r="F276" s="26">
        <v>8.6999999999999993</v>
      </c>
      <c r="G276" s="26">
        <v>8.6999999999999993</v>
      </c>
      <c r="H276" s="26">
        <v>8.6999999999999993</v>
      </c>
    </row>
    <row r="277" spans="1:8" x14ac:dyDescent="0.2">
      <c r="A277" s="10" t="s">
        <v>371</v>
      </c>
      <c r="B277" s="8" t="s">
        <v>54</v>
      </c>
      <c r="C277" s="8" t="s">
        <v>32</v>
      </c>
      <c r="D277" s="8" t="s">
        <v>370</v>
      </c>
      <c r="E277" s="8"/>
      <c r="F277" s="9">
        <f>F278+F279+F280</f>
        <v>2027.6000000000001</v>
      </c>
      <c r="G277" s="9">
        <f t="shared" ref="G277:H277" si="47">G278+G279+G280</f>
        <v>2027.6000000000001</v>
      </c>
      <c r="H277" s="9">
        <f t="shared" si="47"/>
        <v>2027.6000000000001</v>
      </c>
    </row>
    <row r="278" spans="1:8" ht="51" x14ac:dyDescent="0.2">
      <c r="A278" s="23" t="s">
        <v>9</v>
      </c>
      <c r="B278" s="24" t="s">
        <v>54</v>
      </c>
      <c r="C278" s="24" t="s">
        <v>32</v>
      </c>
      <c r="D278" s="24" t="s">
        <v>370</v>
      </c>
      <c r="E278" s="25" t="s">
        <v>10</v>
      </c>
      <c r="F278" s="26">
        <v>1773.9</v>
      </c>
      <c r="G278" s="26">
        <v>1773.9</v>
      </c>
      <c r="H278" s="26">
        <v>1773.9</v>
      </c>
    </row>
    <row r="279" spans="1:8" ht="25.5" x14ac:dyDescent="0.2">
      <c r="A279" s="28" t="s">
        <v>20</v>
      </c>
      <c r="B279" s="24" t="s">
        <v>54</v>
      </c>
      <c r="C279" s="24" t="s">
        <v>32</v>
      </c>
      <c r="D279" s="24" t="s">
        <v>370</v>
      </c>
      <c r="E279" s="25" t="s">
        <v>12</v>
      </c>
      <c r="F279" s="26">
        <v>253.4</v>
      </c>
      <c r="G279" s="26">
        <v>253.4</v>
      </c>
      <c r="H279" s="26">
        <v>253.4</v>
      </c>
    </row>
    <row r="280" spans="1:8" x14ac:dyDescent="0.2">
      <c r="A280" s="28" t="s">
        <v>16</v>
      </c>
      <c r="B280" s="24" t="s">
        <v>54</v>
      </c>
      <c r="C280" s="24" t="s">
        <v>32</v>
      </c>
      <c r="D280" s="24" t="s">
        <v>370</v>
      </c>
      <c r="E280" s="25" t="s">
        <v>17</v>
      </c>
      <c r="F280" s="26">
        <v>0.3</v>
      </c>
      <c r="G280" s="26">
        <v>0.3</v>
      </c>
      <c r="H280" s="26">
        <v>0.3</v>
      </c>
    </row>
    <row r="281" spans="1:8" ht="15.75" x14ac:dyDescent="0.25">
      <c r="A281" s="38" t="s">
        <v>59</v>
      </c>
      <c r="B281" s="36" t="s">
        <v>58</v>
      </c>
      <c r="C281" s="36" t="s">
        <v>26</v>
      </c>
      <c r="D281" s="36"/>
      <c r="E281" s="36"/>
      <c r="F281" s="37">
        <f>F282+F286+F296+F384+F406</f>
        <v>670678</v>
      </c>
      <c r="G281" s="37">
        <f>G282+G286+G296+G384+G406</f>
        <v>662251.80000000005</v>
      </c>
      <c r="H281" s="37">
        <f>H282+H286+H296+H384+H406</f>
        <v>662863.60000000009</v>
      </c>
    </row>
    <row r="282" spans="1:8" x14ac:dyDescent="0.2">
      <c r="A282" s="14" t="s">
        <v>60</v>
      </c>
      <c r="B282" s="11" t="s">
        <v>58</v>
      </c>
      <c r="C282" s="11" t="s">
        <v>25</v>
      </c>
      <c r="D282" s="11"/>
      <c r="E282" s="11"/>
      <c r="F282" s="12">
        <f>F283</f>
        <v>5694.1</v>
      </c>
      <c r="G282" s="12">
        <f>G283</f>
        <v>5694.1</v>
      </c>
      <c r="H282" s="12">
        <f>H283</f>
        <v>5694.1</v>
      </c>
    </row>
    <row r="283" spans="1:8" ht="76.5" x14ac:dyDescent="0.2">
      <c r="A283" s="10" t="s">
        <v>444</v>
      </c>
      <c r="B283" s="8" t="s">
        <v>58</v>
      </c>
      <c r="C283" s="8" t="s">
        <v>25</v>
      </c>
      <c r="D283" s="8" t="s">
        <v>374</v>
      </c>
      <c r="E283" s="8"/>
      <c r="F283" s="9">
        <f>F285+F284</f>
        <v>5694.1</v>
      </c>
      <c r="G283" s="9">
        <f>G285+G284</f>
        <v>5694.1</v>
      </c>
      <c r="H283" s="9">
        <f>H285+H284</f>
        <v>5694.1</v>
      </c>
    </row>
    <row r="284" spans="1:8" ht="25.5" x14ac:dyDescent="0.2">
      <c r="A284" s="28" t="s">
        <v>20</v>
      </c>
      <c r="B284" s="24" t="s">
        <v>58</v>
      </c>
      <c r="C284" s="24" t="s">
        <v>25</v>
      </c>
      <c r="D284" s="24" t="s">
        <v>374</v>
      </c>
      <c r="E284" s="25" t="s">
        <v>12</v>
      </c>
      <c r="F284" s="26">
        <v>28.3</v>
      </c>
      <c r="G284" s="26">
        <v>28.3</v>
      </c>
      <c r="H284" s="26">
        <v>28.3</v>
      </c>
    </row>
    <row r="285" spans="1:8" x14ac:dyDescent="0.2">
      <c r="A285" s="28" t="s">
        <v>13</v>
      </c>
      <c r="B285" s="24" t="s">
        <v>58</v>
      </c>
      <c r="C285" s="24" t="s">
        <v>25</v>
      </c>
      <c r="D285" s="24" t="s">
        <v>374</v>
      </c>
      <c r="E285" s="24" t="s">
        <v>14</v>
      </c>
      <c r="F285" s="26">
        <v>5665.8</v>
      </c>
      <c r="G285" s="26">
        <v>5665.8</v>
      </c>
      <c r="H285" s="26">
        <v>5665.8</v>
      </c>
    </row>
    <row r="286" spans="1:8" x14ac:dyDescent="0.2">
      <c r="A286" s="14" t="s">
        <v>61</v>
      </c>
      <c r="B286" s="11" t="s">
        <v>58</v>
      </c>
      <c r="C286" s="11" t="s">
        <v>28</v>
      </c>
      <c r="D286" s="11"/>
      <c r="E286" s="11"/>
      <c r="F286" s="12">
        <f>F287+F289+F293</f>
        <v>112220</v>
      </c>
      <c r="G286" s="12">
        <f>G287+G289+G293</f>
        <v>111866.9</v>
      </c>
      <c r="H286" s="12">
        <f>H287+H289+H293</f>
        <v>111788.70000000001</v>
      </c>
    </row>
    <row r="287" spans="1:8" ht="51" x14ac:dyDescent="0.2">
      <c r="A287" s="10" t="s">
        <v>375</v>
      </c>
      <c r="B287" s="8" t="s">
        <v>58</v>
      </c>
      <c r="C287" s="8" t="s">
        <v>28</v>
      </c>
      <c r="D287" s="8" t="s">
        <v>103</v>
      </c>
      <c r="E287" s="8"/>
      <c r="F287" s="9">
        <f>F288</f>
        <v>75409</v>
      </c>
      <c r="G287" s="9">
        <f>G288</f>
        <v>75201</v>
      </c>
      <c r="H287" s="9">
        <f>H288</f>
        <v>75155</v>
      </c>
    </row>
    <row r="288" spans="1:8" ht="25.5" x14ac:dyDescent="0.2">
      <c r="A288" s="28" t="s">
        <v>286</v>
      </c>
      <c r="B288" s="24" t="s">
        <v>58</v>
      </c>
      <c r="C288" s="24" t="s">
        <v>28</v>
      </c>
      <c r="D288" s="24" t="s">
        <v>104</v>
      </c>
      <c r="E288" s="24" t="s">
        <v>8</v>
      </c>
      <c r="F288" s="26">
        <f>75409</f>
        <v>75409</v>
      </c>
      <c r="G288" s="26">
        <f>75201</f>
        <v>75201</v>
      </c>
      <c r="H288" s="26">
        <f>75155</f>
        <v>75155</v>
      </c>
    </row>
    <row r="289" spans="1:11" ht="63.75" x14ac:dyDescent="0.2">
      <c r="A289" s="10" t="s">
        <v>376</v>
      </c>
      <c r="B289" s="8" t="s">
        <v>58</v>
      </c>
      <c r="C289" s="8" t="s">
        <v>28</v>
      </c>
      <c r="D289" s="8" t="s">
        <v>106</v>
      </c>
      <c r="E289" s="8"/>
      <c r="F289" s="9">
        <f>F290+F291+F292</f>
        <v>36780</v>
      </c>
      <c r="G289" s="9">
        <f>G290+G291+G292</f>
        <v>36634.9</v>
      </c>
      <c r="H289" s="9">
        <f>H290+H291+H292</f>
        <v>36602.700000000004</v>
      </c>
    </row>
    <row r="290" spans="1:11" ht="51" x14ac:dyDescent="0.2">
      <c r="A290" s="23" t="s">
        <v>9</v>
      </c>
      <c r="B290" s="24" t="s">
        <v>58</v>
      </c>
      <c r="C290" s="24" t="s">
        <v>28</v>
      </c>
      <c r="D290" s="24" t="s">
        <v>106</v>
      </c>
      <c r="E290" s="25" t="s">
        <v>10</v>
      </c>
      <c r="F290" s="26">
        <f>23374.8+7059.2+5.8</f>
        <v>30439.8</v>
      </c>
      <c r="G290" s="26">
        <f>23374.8+7059.2+4.7</f>
        <v>30438.7</v>
      </c>
      <c r="H290" s="26">
        <f>23374.8+7059.2+4.7</f>
        <v>30438.7</v>
      </c>
    </row>
    <row r="291" spans="1:11" ht="25.5" x14ac:dyDescent="0.2">
      <c r="A291" s="28" t="s">
        <v>20</v>
      </c>
      <c r="B291" s="24" t="s">
        <v>58</v>
      </c>
      <c r="C291" s="24" t="s">
        <v>28</v>
      </c>
      <c r="D291" s="24" t="s">
        <v>106</v>
      </c>
      <c r="E291" s="25" t="s">
        <v>12</v>
      </c>
      <c r="F291" s="26">
        <f>6065.2</f>
        <v>6065.2</v>
      </c>
      <c r="G291" s="26">
        <f>5921.2</f>
        <v>5921.2</v>
      </c>
      <c r="H291" s="26">
        <f>5891.2</f>
        <v>5891.2</v>
      </c>
    </row>
    <row r="292" spans="1:11" x14ac:dyDescent="0.2">
      <c r="A292" s="28" t="s">
        <v>16</v>
      </c>
      <c r="B292" s="24" t="s">
        <v>58</v>
      </c>
      <c r="C292" s="24" t="s">
        <v>28</v>
      </c>
      <c r="D292" s="24" t="s">
        <v>106</v>
      </c>
      <c r="E292" s="24" t="s">
        <v>17</v>
      </c>
      <c r="F292" s="26">
        <f>275</f>
        <v>275</v>
      </c>
      <c r="G292" s="26">
        <f>275</f>
        <v>275</v>
      </c>
      <c r="H292" s="26">
        <f>272.8</f>
        <v>272.8</v>
      </c>
    </row>
    <row r="293" spans="1:11" ht="25.5" x14ac:dyDescent="0.2">
      <c r="A293" s="10" t="s">
        <v>378</v>
      </c>
      <c r="B293" s="8" t="s">
        <v>58</v>
      </c>
      <c r="C293" s="8" t="s">
        <v>28</v>
      </c>
      <c r="D293" s="8" t="s">
        <v>377</v>
      </c>
      <c r="E293" s="8"/>
      <c r="F293" s="9">
        <f>F294+F295</f>
        <v>31</v>
      </c>
      <c r="G293" s="9">
        <f>G294+G295</f>
        <v>31</v>
      </c>
      <c r="H293" s="9">
        <f>H294+H295</f>
        <v>31</v>
      </c>
    </row>
    <row r="294" spans="1:11" ht="51" x14ac:dyDescent="0.2">
      <c r="A294" s="23" t="s">
        <v>9</v>
      </c>
      <c r="B294" s="24" t="s">
        <v>58</v>
      </c>
      <c r="C294" s="24" t="s">
        <v>28</v>
      </c>
      <c r="D294" s="24" t="s">
        <v>377</v>
      </c>
      <c r="E294" s="25" t="s">
        <v>10</v>
      </c>
      <c r="F294" s="26">
        <f>17.2</f>
        <v>17.2</v>
      </c>
      <c r="G294" s="26">
        <f t="shared" ref="G294:H294" si="48">17.2</f>
        <v>17.2</v>
      </c>
      <c r="H294" s="26">
        <f t="shared" si="48"/>
        <v>17.2</v>
      </c>
    </row>
    <row r="295" spans="1:11" ht="25.5" x14ac:dyDescent="0.2">
      <c r="A295" s="28" t="s">
        <v>20</v>
      </c>
      <c r="B295" s="24" t="s">
        <v>58</v>
      </c>
      <c r="C295" s="24" t="s">
        <v>28</v>
      </c>
      <c r="D295" s="24" t="s">
        <v>377</v>
      </c>
      <c r="E295" s="25" t="s">
        <v>12</v>
      </c>
      <c r="F295" s="26">
        <v>13.8</v>
      </c>
      <c r="G295" s="26">
        <v>13.8</v>
      </c>
      <c r="H295" s="26">
        <v>13.8</v>
      </c>
    </row>
    <row r="296" spans="1:11" x14ac:dyDescent="0.2">
      <c r="A296" s="14" t="s">
        <v>62</v>
      </c>
      <c r="B296" s="11" t="s">
        <v>58</v>
      </c>
      <c r="C296" s="11" t="s">
        <v>30</v>
      </c>
      <c r="D296" s="11"/>
      <c r="E296" s="11"/>
      <c r="F296" s="12">
        <f>F299+F303+F305+F310+F312+F308+F317+F322+F325+F328+F331+F334+F337+F343+F347+F350+F353+F356+F359+F361+F363+F366+F369+F372+F375+F378+F381+F340+F319+F314+F297+F301</f>
        <v>347783.39999999997</v>
      </c>
      <c r="G296" s="12">
        <f t="shared" ref="G296:H296" si="49">G299+G303+G305+G310+G312+G308+G317+G322+G325+G328+G331+G334+G337+G343+G347+G350+G353+G356+G359+G361+G363+G366+G369+G372+G375+G378+G381+G340+G319+G314+G297+G301</f>
        <v>339095.3</v>
      </c>
      <c r="H296" s="12">
        <f t="shared" si="49"/>
        <v>344015.30000000005</v>
      </c>
    </row>
    <row r="297" spans="1:11" s="59" customFormat="1" ht="76.5" x14ac:dyDescent="0.2">
      <c r="A297" s="10" t="s">
        <v>379</v>
      </c>
      <c r="B297" s="8" t="s">
        <v>58</v>
      </c>
      <c r="C297" s="8" t="s">
        <v>30</v>
      </c>
      <c r="D297" s="8" t="s">
        <v>155</v>
      </c>
      <c r="E297" s="8"/>
      <c r="F297" s="9">
        <f>F298</f>
        <v>9252.1</v>
      </c>
      <c r="G297" s="9">
        <f>G298</f>
        <v>0</v>
      </c>
      <c r="H297" s="9">
        <f>H298</f>
        <v>0</v>
      </c>
    </row>
    <row r="298" spans="1:11" s="59" customFormat="1" x14ac:dyDescent="0.2">
      <c r="A298" s="28" t="s">
        <v>13</v>
      </c>
      <c r="B298" s="24" t="s">
        <v>58</v>
      </c>
      <c r="C298" s="24" t="s">
        <v>30</v>
      </c>
      <c r="D298" s="24" t="s">
        <v>155</v>
      </c>
      <c r="E298" s="24" t="s">
        <v>14</v>
      </c>
      <c r="F298" s="26">
        <v>9252.1</v>
      </c>
      <c r="G298" s="26">
        <v>0</v>
      </c>
      <c r="H298" s="26">
        <v>0</v>
      </c>
    </row>
    <row r="299" spans="1:11" ht="63.75" x14ac:dyDescent="0.2">
      <c r="A299" s="10" t="s">
        <v>380</v>
      </c>
      <c r="B299" s="8" t="s">
        <v>58</v>
      </c>
      <c r="C299" s="8" t="s">
        <v>30</v>
      </c>
      <c r="D299" s="8" t="s">
        <v>91</v>
      </c>
      <c r="E299" s="8"/>
      <c r="F299" s="9">
        <f>F300</f>
        <v>1355.2</v>
      </c>
      <c r="G299" s="9">
        <f>G300</f>
        <v>2197.6999999999998</v>
      </c>
      <c r="H299" s="9">
        <f>H300</f>
        <v>7417.7</v>
      </c>
    </row>
    <row r="300" spans="1:11" ht="25.5" x14ac:dyDescent="0.2">
      <c r="A300" s="28" t="s">
        <v>78</v>
      </c>
      <c r="B300" s="24" t="s">
        <v>58</v>
      </c>
      <c r="C300" s="24" t="s">
        <v>30</v>
      </c>
      <c r="D300" s="24" t="s">
        <v>91</v>
      </c>
      <c r="E300" s="24" t="s">
        <v>15</v>
      </c>
      <c r="F300" s="26">
        <v>1355.2</v>
      </c>
      <c r="G300" s="26">
        <v>2197.6999999999998</v>
      </c>
      <c r="H300" s="26">
        <v>7417.7</v>
      </c>
    </row>
    <row r="301" spans="1:11" ht="38.25" x14ac:dyDescent="0.2">
      <c r="A301" s="10" t="s">
        <v>265</v>
      </c>
      <c r="B301" s="8" t="s">
        <v>58</v>
      </c>
      <c r="C301" s="8" t="s">
        <v>30</v>
      </c>
      <c r="D301" s="8" t="s">
        <v>264</v>
      </c>
      <c r="E301" s="8"/>
      <c r="F301" s="9">
        <f>F302</f>
        <v>814.1</v>
      </c>
      <c r="G301" s="9">
        <f>G302</f>
        <v>814.1</v>
      </c>
      <c r="H301" s="9">
        <f>H302</f>
        <v>814.1</v>
      </c>
    </row>
    <row r="302" spans="1:11" s="27" customFormat="1" ht="25.5" x14ac:dyDescent="0.2">
      <c r="A302" s="28" t="s">
        <v>78</v>
      </c>
      <c r="B302" s="24" t="s">
        <v>58</v>
      </c>
      <c r="C302" s="24" t="s">
        <v>30</v>
      </c>
      <c r="D302" s="24" t="s">
        <v>264</v>
      </c>
      <c r="E302" s="24" t="s">
        <v>15</v>
      </c>
      <c r="F302" s="26">
        <v>814.1</v>
      </c>
      <c r="G302" s="26">
        <v>814.1</v>
      </c>
      <c r="H302" s="26">
        <v>814.1</v>
      </c>
      <c r="I302" s="13"/>
      <c r="J302" s="13"/>
      <c r="K302" s="13"/>
    </row>
    <row r="303" spans="1:11" ht="25.5" x14ac:dyDescent="0.2">
      <c r="A303" s="10" t="s">
        <v>381</v>
      </c>
      <c r="B303" s="8" t="s">
        <v>58</v>
      </c>
      <c r="C303" s="8" t="s">
        <v>30</v>
      </c>
      <c r="D303" s="8" t="s">
        <v>145</v>
      </c>
      <c r="E303" s="8"/>
      <c r="F303" s="9">
        <f>F304</f>
        <v>1966.3</v>
      </c>
      <c r="G303" s="9">
        <f>G304</f>
        <v>1966.3</v>
      </c>
      <c r="H303" s="9">
        <f>H304</f>
        <v>1966.3</v>
      </c>
    </row>
    <row r="304" spans="1:11" x14ac:dyDescent="0.2">
      <c r="A304" s="27" t="s">
        <v>13</v>
      </c>
      <c r="B304" s="24" t="s">
        <v>58</v>
      </c>
      <c r="C304" s="24" t="s">
        <v>30</v>
      </c>
      <c r="D304" s="24" t="s">
        <v>145</v>
      </c>
      <c r="E304" s="30">
        <v>300</v>
      </c>
      <c r="F304" s="26">
        <v>1966.3</v>
      </c>
      <c r="G304" s="26">
        <v>1966.3</v>
      </c>
      <c r="H304" s="26">
        <v>1966.3</v>
      </c>
    </row>
    <row r="305" spans="1:15" ht="25.5" x14ac:dyDescent="0.2">
      <c r="A305" s="10" t="s">
        <v>382</v>
      </c>
      <c r="B305" s="8" t="s">
        <v>58</v>
      </c>
      <c r="C305" s="8" t="s">
        <v>30</v>
      </c>
      <c r="D305" s="8" t="s">
        <v>83</v>
      </c>
      <c r="E305" s="8"/>
      <c r="F305" s="9">
        <f>F306+F307</f>
        <v>1000</v>
      </c>
      <c r="G305" s="9">
        <f t="shared" ref="G305:H305" si="50">G306+G307</f>
        <v>1000</v>
      </c>
      <c r="H305" s="9">
        <f t="shared" si="50"/>
        <v>1000</v>
      </c>
    </row>
    <row r="306" spans="1:15" x14ac:dyDescent="0.2">
      <c r="A306" s="27" t="s">
        <v>13</v>
      </c>
      <c r="B306" s="24" t="s">
        <v>58</v>
      </c>
      <c r="C306" s="24" t="s">
        <v>30</v>
      </c>
      <c r="D306" s="24" t="s">
        <v>83</v>
      </c>
      <c r="E306" s="24" t="s">
        <v>14</v>
      </c>
      <c r="F306" s="26">
        <f>119+35.6</f>
        <v>154.6</v>
      </c>
      <c r="G306" s="26">
        <f>119+35.6</f>
        <v>154.6</v>
      </c>
      <c r="H306" s="26">
        <f>119+35.6</f>
        <v>154.6</v>
      </c>
    </row>
    <row r="307" spans="1:15" ht="25.5" x14ac:dyDescent="0.2">
      <c r="A307" s="28" t="s">
        <v>286</v>
      </c>
      <c r="B307" s="24" t="s">
        <v>58</v>
      </c>
      <c r="C307" s="24" t="s">
        <v>30</v>
      </c>
      <c r="D307" s="24" t="s">
        <v>83</v>
      </c>
      <c r="E307" s="24" t="s">
        <v>8</v>
      </c>
      <c r="F307" s="26">
        <f>783.4+62</f>
        <v>845.4</v>
      </c>
      <c r="G307" s="26">
        <f>783.4+62</f>
        <v>845.4</v>
      </c>
      <c r="H307" s="26">
        <f>783.4+62</f>
        <v>845.4</v>
      </c>
    </row>
    <row r="308" spans="1:15" ht="38.25" x14ac:dyDescent="0.2">
      <c r="A308" s="10" t="s">
        <v>383</v>
      </c>
      <c r="B308" s="8" t="s">
        <v>58</v>
      </c>
      <c r="C308" s="8" t="s">
        <v>30</v>
      </c>
      <c r="D308" s="8" t="s">
        <v>134</v>
      </c>
      <c r="E308" s="8"/>
      <c r="F308" s="9">
        <f>F309</f>
        <v>207</v>
      </c>
      <c r="G308" s="9">
        <f>G309</f>
        <v>207</v>
      </c>
      <c r="H308" s="9">
        <f>H309</f>
        <v>207</v>
      </c>
    </row>
    <row r="309" spans="1:15" x14ac:dyDescent="0.2">
      <c r="A309" s="27" t="s">
        <v>13</v>
      </c>
      <c r="B309" s="24" t="s">
        <v>58</v>
      </c>
      <c r="C309" s="24" t="s">
        <v>30</v>
      </c>
      <c r="D309" s="24" t="s">
        <v>134</v>
      </c>
      <c r="E309" s="30">
        <v>300</v>
      </c>
      <c r="F309" s="26">
        <f>207</f>
        <v>207</v>
      </c>
      <c r="G309" s="26">
        <f>207</f>
        <v>207</v>
      </c>
      <c r="H309" s="26">
        <f>207</f>
        <v>207</v>
      </c>
    </row>
    <row r="310" spans="1:15" ht="51" x14ac:dyDescent="0.2">
      <c r="A310" s="10" t="s">
        <v>384</v>
      </c>
      <c r="B310" s="8" t="s">
        <v>58</v>
      </c>
      <c r="C310" s="8" t="s">
        <v>30</v>
      </c>
      <c r="D310" s="24" t="s">
        <v>133</v>
      </c>
      <c r="E310" s="8"/>
      <c r="F310" s="9">
        <f>F311</f>
        <v>387</v>
      </c>
      <c r="G310" s="9">
        <f>G311</f>
        <v>387</v>
      </c>
      <c r="H310" s="9">
        <f>H311</f>
        <v>387</v>
      </c>
    </row>
    <row r="311" spans="1:15" x14ac:dyDescent="0.2">
      <c r="A311" s="27" t="s">
        <v>13</v>
      </c>
      <c r="B311" s="24" t="s">
        <v>58</v>
      </c>
      <c r="C311" s="24" t="s">
        <v>30</v>
      </c>
      <c r="D311" s="24" t="s">
        <v>133</v>
      </c>
      <c r="E311" s="30">
        <v>300</v>
      </c>
      <c r="F311" s="26">
        <f>387</f>
        <v>387</v>
      </c>
      <c r="G311" s="26">
        <f>387</f>
        <v>387</v>
      </c>
      <c r="H311" s="26">
        <f>387</f>
        <v>387</v>
      </c>
    </row>
    <row r="312" spans="1:15" ht="38.25" x14ac:dyDescent="0.2">
      <c r="A312" s="43" t="s">
        <v>385</v>
      </c>
      <c r="B312" s="8" t="s">
        <v>58</v>
      </c>
      <c r="C312" s="8" t="s">
        <v>30</v>
      </c>
      <c r="D312" s="8" t="s">
        <v>132</v>
      </c>
      <c r="E312" s="8"/>
      <c r="F312" s="9">
        <f>F313</f>
        <v>570</v>
      </c>
      <c r="G312" s="9">
        <f>G313</f>
        <v>570</v>
      </c>
      <c r="H312" s="9">
        <f>H313</f>
        <v>570</v>
      </c>
    </row>
    <row r="313" spans="1:15" x14ac:dyDescent="0.2">
      <c r="A313" s="27" t="s">
        <v>13</v>
      </c>
      <c r="B313" s="24" t="s">
        <v>58</v>
      </c>
      <c r="C313" s="24" t="s">
        <v>30</v>
      </c>
      <c r="D313" s="24" t="s">
        <v>132</v>
      </c>
      <c r="E313" s="24" t="s">
        <v>14</v>
      </c>
      <c r="F313" s="26">
        <f>570</f>
        <v>570</v>
      </c>
      <c r="G313" s="26">
        <f>570</f>
        <v>570</v>
      </c>
      <c r="H313" s="26">
        <f>570</f>
        <v>570</v>
      </c>
    </row>
    <row r="314" spans="1:15" ht="25.5" x14ac:dyDescent="0.2">
      <c r="A314" s="43" t="s">
        <v>386</v>
      </c>
      <c r="B314" s="8" t="s">
        <v>58</v>
      </c>
      <c r="C314" s="8" t="s">
        <v>30</v>
      </c>
      <c r="D314" s="8" t="s">
        <v>139</v>
      </c>
      <c r="E314" s="8"/>
      <c r="F314" s="9">
        <f>F316+F315</f>
        <v>550.9</v>
      </c>
      <c r="G314" s="9">
        <f>G316+G315</f>
        <v>550.9</v>
      </c>
      <c r="H314" s="9">
        <f>H316+H315</f>
        <v>550.9</v>
      </c>
      <c r="N314" s="27"/>
      <c r="O314" s="27"/>
    </row>
    <row r="315" spans="1:15" ht="25.5" x14ac:dyDescent="0.2">
      <c r="A315" s="28" t="s">
        <v>20</v>
      </c>
      <c r="B315" s="24" t="s">
        <v>58</v>
      </c>
      <c r="C315" s="24" t="s">
        <v>30</v>
      </c>
      <c r="D315" s="24" t="s">
        <v>139</v>
      </c>
      <c r="E315" s="25" t="s">
        <v>12</v>
      </c>
      <c r="F315" s="26">
        <f>159</f>
        <v>159</v>
      </c>
      <c r="G315" s="26">
        <f>159</f>
        <v>159</v>
      </c>
      <c r="H315" s="26">
        <f>159</f>
        <v>159</v>
      </c>
    </row>
    <row r="316" spans="1:15" ht="25.5" x14ac:dyDescent="0.2">
      <c r="A316" s="28" t="s">
        <v>286</v>
      </c>
      <c r="B316" s="24" t="s">
        <v>58</v>
      </c>
      <c r="C316" s="24" t="s">
        <v>30</v>
      </c>
      <c r="D316" s="24" t="s">
        <v>139</v>
      </c>
      <c r="E316" s="24" t="s">
        <v>8</v>
      </c>
      <c r="F316" s="26">
        <f>371.5+20.4</f>
        <v>391.9</v>
      </c>
      <c r="G316" s="26">
        <f>371.5+20.4</f>
        <v>391.9</v>
      </c>
      <c r="H316" s="26">
        <f>371.5+20.4</f>
        <v>391.9</v>
      </c>
      <c r="I316" s="4"/>
      <c r="J316" s="4"/>
      <c r="K316" s="4"/>
      <c r="L316" s="4"/>
      <c r="M316" s="4"/>
      <c r="N316" s="4"/>
      <c r="O316" s="4"/>
    </row>
    <row r="317" spans="1:15" ht="63.75" x14ac:dyDescent="0.2">
      <c r="A317" s="10" t="s">
        <v>387</v>
      </c>
      <c r="B317" s="8" t="s">
        <v>58</v>
      </c>
      <c r="C317" s="8" t="s">
        <v>30</v>
      </c>
      <c r="D317" s="8" t="s">
        <v>135</v>
      </c>
      <c r="E317" s="8"/>
      <c r="F317" s="9">
        <f>F318</f>
        <v>1000</v>
      </c>
      <c r="G317" s="9">
        <f>G318</f>
        <v>1000</v>
      </c>
      <c r="H317" s="9">
        <f>H318</f>
        <v>1000</v>
      </c>
    </row>
    <row r="318" spans="1:15" x14ac:dyDescent="0.2">
      <c r="A318" s="28" t="s">
        <v>13</v>
      </c>
      <c r="B318" s="24" t="s">
        <v>58</v>
      </c>
      <c r="C318" s="24" t="s">
        <v>30</v>
      </c>
      <c r="D318" s="24" t="s">
        <v>135</v>
      </c>
      <c r="E318" s="24" t="s">
        <v>14</v>
      </c>
      <c r="F318" s="26">
        <f>1000</f>
        <v>1000</v>
      </c>
      <c r="G318" s="26">
        <f>1000</f>
        <v>1000</v>
      </c>
      <c r="H318" s="26">
        <f>1000</f>
        <v>1000</v>
      </c>
    </row>
    <row r="319" spans="1:15" ht="38.25" x14ac:dyDescent="0.2">
      <c r="A319" s="10" t="s">
        <v>391</v>
      </c>
      <c r="B319" s="8" t="s">
        <v>58</v>
      </c>
      <c r="C319" s="8" t="s">
        <v>30</v>
      </c>
      <c r="D319" s="8" t="s">
        <v>124</v>
      </c>
      <c r="E319" s="8"/>
      <c r="F319" s="9">
        <f>F321+F320</f>
        <v>501</v>
      </c>
      <c r="G319" s="9">
        <f>G321+G320</f>
        <v>530</v>
      </c>
      <c r="H319" s="9">
        <f>H321+H320</f>
        <v>530</v>
      </c>
    </row>
    <row r="320" spans="1:15" ht="25.5" x14ac:dyDescent="0.2">
      <c r="A320" s="28" t="s">
        <v>20</v>
      </c>
      <c r="B320" s="24" t="s">
        <v>58</v>
      </c>
      <c r="C320" s="24" t="s">
        <v>30</v>
      </c>
      <c r="D320" s="24" t="s">
        <v>124</v>
      </c>
      <c r="E320" s="25" t="s">
        <v>12</v>
      </c>
      <c r="F320" s="26">
        <f>2.2</f>
        <v>2.2000000000000002</v>
      </c>
      <c r="G320" s="26">
        <f>2.2</f>
        <v>2.2000000000000002</v>
      </c>
      <c r="H320" s="26">
        <f>2.2</f>
        <v>2.2000000000000002</v>
      </c>
    </row>
    <row r="321" spans="1:8" x14ac:dyDescent="0.2">
      <c r="A321" s="28" t="s">
        <v>13</v>
      </c>
      <c r="B321" s="24" t="s">
        <v>58</v>
      </c>
      <c r="C321" s="24" t="s">
        <v>30</v>
      </c>
      <c r="D321" s="24" t="s">
        <v>124</v>
      </c>
      <c r="E321" s="24" t="s">
        <v>14</v>
      </c>
      <c r="F321" s="26">
        <f>498.8</f>
        <v>498.8</v>
      </c>
      <c r="G321" s="26">
        <f>527.8</f>
        <v>527.79999999999995</v>
      </c>
      <c r="H321" s="26">
        <f>527.8</f>
        <v>527.79999999999995</v>
      </c>
    </row>
    <row r="322" spans="1:8" ht="25.5" x14ac:dyDescent="0.2">
      <c r="A322" s="10" t="s">
        <v>392</v>
      </c>
      <c r="B322" s="8" t="s">
        <v>58</v>
      </c>
      <c r="C322" s="8" t="s">
        <v>30</v>
      </c>
      <c r="D322" s="8" t="s">
        <v>108</v>
      </c>
      <c r="E322" s="8"/>
      <c r="F322" s="9">
        <f>F324+F323</f>
        <v>7600</v>
      </c>
      <c r="G322" s="9">
        <f>G324+G323</f>
        <v>7600</v>
      </c>
      <c r="H322" s="9">
        <f>H324+H323</f>
        <v>7600</v>
      </c>
    </row>
    <row r="323" spans="1:8" ht="25.5" x14ac:dyDescent="0.2">
      <c r="A323" s="28" t="s">
        <v>20</v>
      </c>
      <c r="B323" s="24" t="s">
        <v>58</v>
      </c>
      <c r="C323" s="24" t="s">
        <v>30</v>
      </c>
      <c r="D323" s="24" t="s">
        <v>108</v>
      </c>
      <c r="E323" s="25" t="s">
        <v>12</v>
      </c>
      <c r="F323" s="26">
        <f>52.2</f>
        <v>52.2</v>
      </c>
      <c r="G323" s="26">
        <f>52.2</f>
        <v>52.2</v>
      </c>
      <c r="H323" s="26">
        <f>52.2</f>
        <v>52.2</v>
      </c>
    </row>
    <row r="324" spans="1:8" x14ac:dyDescent="0.2">
      <c r="A324" s="28" t="s">
        <v>13</v>
      </c>
      <c r="B324" s="24" t="s">
        <v>58</v>
      </c>
      <c r="C324" s="24" t="s">
        <v>30</v>
      </c>
      <c r="D324" s="24" t="s">
        <v>108</v>
      </c>
      <c r="E324" s="24" t="s">
        <v>14</v>
      </c>
      <c r="F324" s="26">
        <f>7547.8</f>
        <v>7547.8</v>
      </c>
      <c r="G324" s="26">
        <f>7547.8</f>
        <v>7547.8</v>
      </c>
      <c r="H324" s="26">
        <f>7547.8</f>
        <v>7547.8</v>
      </c>
    </row>
    <row r="325" spans="1:8" ht="25.5" x14ac:dyDescent="0.2">
      <c r="A325" s="10" t="s">
        <v>393</v>
      </c>
      <c r="B325" s="8" t="s">
        <v>58</v>
      </c>
      <c r="C325" s="8" t="s">
        <v>30</v>
      </c>
      <c r="D325" s="8" t="s">
        <v>110</v>
      </c>
      <c r="E325" s="8"/>
      <c r="F325" s="9">
        <f>F327+F326</f>
        <v>56772</v>
      </c>
      <c r="G325" s="9">
        <f>G327+G326</f>
        <v>56759</v>
      </c>
      <c r="H325" s="9">
        <f>H327+H326</f>
        <v>56753</v>
      </c>
    </row>
    <row r="326" spans="1:8" ht="25.5" x14ac:dyDescent="0.2">
      <c r="A326" s="28" t="s">
        <v>20</v>
      </c>
      <c r="B326" s="24" t="s">
        <v>58</v>
      </c>
      <c r="C326" s="24" t="s">
        <v>30</v>
      </c>
      <c r="D326" s="24" t="s">
        <v>110</v>
      </c>
      <c r="E326" s="25" t="s">
        <v>12</v>
      </c>
      <c r="F326" s="26">
        <f>713</f>
        <v>713</v>
      </c>
      <c r="G326" s="26">
        <f>713</f>
        <v>713</v>
      </c>
      <c r="H326" s="26">
        <f>713</f>
        <v>713</v>
      </c>
    </row>
    <row r="327" spans="1:8" x14ac:dyDescent="0.2">
      <c r="A327" s="28" t="s">
        <v>13</v>
      </c>
      <c r="B327" s="24" t="s">
        <v>58</v>
      </c>
      <c r="C327" s="24" t="s">
        <v>30</v>
      </c>
      <c r="D327" s="24" t="s">
        <v>110</v>
      </c>
      <c r="E327" s="24" t="s">
        <v>14</v>
      </c>
      <c r="F327" s="26">
        <f>56059</f>
        <v>56059</v>
      </c>
      <c r="G327" s="26">
        <f>56046</f>
        <v>56046</v>
      </c>
      <c r="H327" s="26">
        <f>56040</f>
        <v>56040</v>
      </c>
    </row>
    <row r="328" spans="1:8" ht="38.25" x14ac:dyDescent="0.2">
      <c r="A328" s="10" t="s">
        <v>394</v>
      </c>
      <c r="B328" s="8" t="s">
        <v>58</v>
      </c>
      <c r="C328" s="8" t="s">
        <v>30</v>
      </c>
      <c r="D328" s="8" t="s">
        <v>109</v>
      </c>
      <c r="E328" s="8"/>
      <c r="F328" s="9">
        <f>F329+F330</f>
        <v>11.5</v>
      </c>
      <c r="G328" s="9">
        <f>G329+G330</f>
        <v>13</v>
      </c>
      <c r="H328" s="9">
        <f>H329+H330</f>
        <v>15</v>
      </c>
    </row>
    <row r="329" spans="1:8" ht="25.5" x14ac:dyDescent="0.2">
      <c r="A329" s="28" t="s">
        <v>20</v>
      </c>
      <c r="B329" s="24" t="s">
        <v>58</v>
      </c>
      <c r="C329" s="24" t="s">
        <v>30</v>
      </c>
      <c r="D329" s="24" t="s">
        <v>109</v>
      </c>
      <c r="E329" s="25" t="s">
        <v>12</v>
      </c>
      <c r="F329" s="26">
        <f>0.1</f>
        <v>0.1</v>
      </c>
      <c r="G329" s="26">
        <f>0.1</f>
        <v>0.1</v>
      </c>
      <c r="H329" s="26">
        <f>0.1</f>
        <v>0.1</v>
      </c>
    </row>
    <row r="330" spans="1:8" x14ac:dyDescent="0.2">
      <c r="A330" s="28" t="s">
        <v>13</v>
      </c>
      <c r="B330" s="24" t="s">
        <v>58</v>
      </c>
      <c r="C330" s="24" t="s">
        <v>30</v>
      </c>
      <c r="D330" s="24" t="s">
        <v>109</v>
      </c>
      <c r="E330" s="24" t="s">
        <v>14</v>
      </c>
      <c r="F330" s="26">
        <f>11.4</f>
        <v>11.4</v>
      </c>
      <c r="G330" s="26">
        <f>12.9</f>
        <v>12.9</v>
      </c>
      <c r="H330" s="26">
        <f>14.9</f>
        <v>14.9</v>
      </c>
    </row>
    <row r="331" spans="1:8" ht="63.75" x14ac:dyDescent="0.2">
      <c r="A331" s="10" t="s">
        <v>395</v>
      </c>
      <c r="B331" s="8" t="s">
        <v>58</v>
      </c>
      <c r="C331" s="8" t="s">
        <v>30</v>
      </c>
      <c r="D331" s="8" t="s">
        <v>98</v>
      </c>
      <c r="E331" s="8"/>
      <c r="F331" s="9">
        <f>F333+F332</f>
        <v>25230.799999999999</v>
      </c>
      <c r="G331" s="9">
        <f t="shared" ref="G331:H331" si="51">G333+G332</f>
        <v>25230.799999999999</v>
      </c>
      <c r="H331" s="9">
        <f t="shared" si="51"/>
        <v>25230.799999999999</v>
      </c>
    </row>
    <row r="332" spans="1:8" ht="25.5" x14ac:dyDescent="0.2">
      <c r="A332" s="28" t="s">
        <v>20</v>
      </c>
      <c r="B332" s="24" t="s">
        <v>58</v>
      </c>
      <c r="C332" s="24" t="s">
        <v>30</v>
      </c>
      <c r="D332" s="24" t="s">
        <v>98</v>
      </c>
      <c r="E332" s="25" t="s">
        <v>12</v>
      </c>
      <c r="F332" s="26">
        <f>185.1+70.2</f>
        <v>255.3</v>
      </c>
      <c r="G332" s="26">
        <f>185.1+70.2</f>
        <v>255.3</v>
      </c>
      <c r="H332" s="26">
        <f>185.1+70.2</f>
        <v>255.3</v>
      </c>
    </row>
    <row r="333" spans="1:8" x14ac:dyDescent="0.2">
      <c r="A333" s="28" t="s">
        <v>13</v>
      </c>
      <c r="B333" s="24" t="s">
        <v>58</v>
      </c>
      <c r="C333" s="24" t="s">
        <v>30</v>
      </c>
      <c r="D333" s="24" t="s">
        <v>98</v>
      </c>
      <c r="E333" s="24" t="s">
        <v>14</v>
      </c>
      <c r="F333" s="26">
        <f>24955.5+20</f>
        <v>24975.5</v>
      </c>
      <c r="G333" s="26">
        <f>24955.5+20</f>
        <v>24975.5</v>
      </c>
      <c r="H333" s="26">
        <f>24955.5+20</f>
        <v>24975.5</v>
      </c>
    </row>
    <row r="334" spans="1:8" ht="127.5" x14ac:dyDescent="0.2">
      <c r="A334" s="10" t="s">
        <v>396</v>
      </c>
      <c r="B334" s="8" t="s">
        <v>58</v>
      </c>
      <c r="C334" s="8" t="s">
        <v>30</v>
      </c>
      <c r="D334" s="8" t="s">
        <v>99</v>
      </c>
      <c r="E334" s="8"/>
      <c r="F334" s="9">
        <f>F336+F335</f>
        <v>2078</v>
      </c>
      <c r="G334" s="9">
        <f t="shared" ref="G334:H334" si="52">G336+G335</f>
        <v>2078</v>
      </c>
      <c r="H334" s="9">
        <f t="shared" si="52"/>
        <v>2078</v>
      </c>
    </row>
    <row r="335" spans="1:8" ht="25.5" x14ac:dyDescent="0.2">
      <c r="A335" s="28" t="s">
        <v>20</v>
      </c>
      <c r="B335" s="24" t="s">
        <v>58</v>
      </c>
      <c r="C335" s="24" t="s">
        <v>30</v>
      </c>
      <c r="D335" s="24" t="s">
        <v>99</v>
      </c>
      <c r="E335" s="25" t="s">
        <v>12</v>
      </c>
      <c r="F335" s="26">
        <f>38+2</f>
        <v>40</v>
      </c>
      <c r="G335" s="26">
        <f>38+2</f>
        <v>40</v>
      </c>
      <c r="H335" s="26">
        <f>38+2</f>
        <v>40</v>
      </c>
    </row>
    <row r="336" spans="1:8" x14ac:dyDescent="0.2">
      <c r="A336" s="28" t="s">
        <v>13</v>
      </c>
      <c r="B336" s="24" t="s">
        <v>58</v>
      </c>
      <c r="C336" s="24" t="s">
        <v>30</v>
      </c>
      <c r="D336" s="24" t="s">
        <v>99</v>
      </c>
      <c r="E336" s="24" t="s">
        <v>14</v>
      </c>
      <c r="F336" s="26">
        <f>2038</f>
        <v>2038</v>
      </c>
      <c r="G336" s="26">
        <f>2038</f>
        <v>2038</v>
      </c>
      <c r="H336" s="26">
        <f>2038</f>
        <v>2038</v>
      </c>
    </row>
    <row r="337" spans="1:8" ht="76.5" x14ac:dyDescent="0.2">
      <c r="A337" s="10" t="s">
        <v>397</v>
      </c>
      <c r="B337" s="8" t="s">
        <v>58</v>
      </c>
      <c r="C337" s="8" t="s">
        <v>30</v>
      </c>
      <c r="D337" s="8" t="s">
        <v>100</v>
      </c>
      <c r="E337" s="8"/>
      <c r="F337" s="9">
        <f>F339+F338</f>
        <v>9559.5999999999985</v>
      </c>
      <c r="G337" s="9">
        <f t="shared" ref="G337:H337" si="53">G339+G338</f>
        <v>9559.5999999999985</v>
      </c>
      <c r="H337" s="9">
        <f t="shared" si="53"/>
        <v>9559.5999999999985</v>
      </c>
    </row>
    <row r="338" spans="1:8" ht="25.5" x14ac:dyDescent="0.2">
      <c r="A338" s="28" t="s">
        <v>20</v>
      </c>
      <c r="B338" s="24" t="s">
        <v>58</v>
      </c>
      <c r="C338" s="24" t="s">
        <v>30</v>
      </c>
      <c r="D338" s="24" t="s">
        <v>100</v>
      </c>
      <c r="E338" s="25" t="s">
        <v>12</v>
      </c>
      <c r="F338" s="26">
        <f>99.2+20.6</f>
        <v>119.80000000000001</v>
      </c>
      <c r="G338" s="26">
        <f>99.2+20.6</f>
        <v>119.80000000000001</v>
      </c>
      <c r="H338" s="26">
        <f>99.2+20.6</f>
        <v>119.80000000000001</v>
      </c>
    </row>
    <row r="339" spans="1:8" x14ac:dyDescent="0.2">
      <c r="A339" s="28" t="s">
        <v>13</v>
      </c>
      <c r="B339" s="24" t="s">
        <v>58</v>
      </c>
      <c r="C339" s="24" t="s">
        <v>30</v>
      </c>
      <c r="D339" s="24" t="s">
        <v>100</v>
      </c>
      <c r="E339" s="24" t="s">
        <v>14</v>
      </c>
      <c r="F339" s="26">
        <f>9008.8+431</f>
        <v>9439.7999999999993</v>
      </c>
      <c r="G339" s="26">
        <f>9008.8+431</f>
        <v>9439.7999999999993</v>
      </c>
      <c r="H339" s="26">
        <f>9008.8+431</f>
        <v>9439.7999999999993</v>
      </c>
    </row>
    <row r="340" spans="1:8" ht="38.25" x14ac:dyDescent="0.2">
      <c r="A340" s="10" t="s">
        <v>398</v>
      </c>
      <c r="B340" s="8" t="s">
        <v>58</v>
      </c>
      <c r="C340" s="8" t="s">
        <v>30</v>
      </c>
      <c r="D340" s="8" t="s">
        <v>114</v>
      </c>
      <c r="E340" s="8"/>
      <c r="F340" s="9">
        <f>F342+F341</f>
        <v>1</v>
      </c>
      <c r="G340" s="9">
        <f>G342+G341</f>
        <v>1</v>
      </c>
      <c r="H340" s="9">
        <f>H342+H341</f>
        <v>1</v>
      </c>
    </row>
    <row r="341" spans="1:8" ht="25.5" x14ac:dyDescent="0.2">
      <c r="A341" s="28" t="s">
        <v>20</v>
      </c>
      <c r="B341" s="24" t="s">
        <v>58</v>
      </c>
      <c r="C341" s="24" t="s">
        <v>30</v>
      </c>
      <c r="D341" s="24" t="s">
        <v>114</v>
      </c>
      <c r="E341" s="25" t="s">
        <v>12</v>
      </c>
      <c r="F341" s="26">
        <f>0.1</f>
        <v>0.1</v>
      </c>
      <c r="G341" s="26">
        <f>0.1</f>
        <v>0.1</v>
      </c>
      <c r="H341" s="26">
        <f>0.1</f>
        <v>0.1</v>
      </c>
    </row>
    <row r="342" spans="1:8" x14ac:dyDescent="0.2">
      <c r="A342" s="28" t="s">
        <v>13</v>
      </c>
      <c r="B342" s="24" t="s">
        <v>58</v>
      </c>
      <c r="C342" s="24" t="s">
        <v>30</v>
      </c>
      <c r="D342" s="24" t="s">
        <v>114</v>
      </c>
      <c r="E342" s="24" t="s">
        <v>14</v>
      </c>
      <c r="F342" s="26">
        <v>0.9</v>
      </c>
      <c r="G342" s="26">
        <v>0.9</v>
      </c>
      <c r="H342" s="26">
        <v>0.9</v>
      </c>
    </row>
    <row r="343" spans="1:8" ht="51" x14ac:dyDescent="0.2">
      <c r="A343" s="10" t="s">
        <v>399</v>
      </c>
      <c r="B343" s="8" t="s">
        <v>58</v>
      </c>
      <c r="C343" s="8" t="s">
        <v>30</v>
      </c>
      <c r="D343" s="8" t="s">
        <v>115</v>
      </c>
      <c r="E343" s="8"/>
      <c r="F343" s="9">
        <f>F345+F346+F344</f>
        <v>18272</v>
      </c>
      <c r="G343" s="9">
        <f>G345+G346+G344</f>
        <v>18272</v>
      </c>
      <c r="H343" s="9">
        <f>H345+H346+H344</f>
        <v>18272</v>
      </c>
    </row>
    <row r="344" spans="1:8" ht="25.5" x14ac:dyDescent="0.2">
      <c r="A344" s="28" t="s">
        <v>20</v>
      </c>
      <c r="B344" s="24" t="s">
        <v>58</v>
      </c>
      <c r="C344" s="24" t="s">
        <v>30</v>
      </c>
      <c r="D344" s="24" t="s">
        <v>115</v>
      </c>
      <c r="E344" s="25" t="s">
        <v>12</v>
      </c>
      <c r="F344" s="26">
        <f>1+62.9</f>
        <v>63.9</v>
      </c>
      <c r="G344" s="26">
        <f>1+62.9</f>
        <v>63.9</v>
      </c>
      <c r="H344" s="26">
        <f>1+62.9</f>
        <v>63.9</v>
      </c>
    </row>
    <row r="345" spans="1:8" x14ac:dyDescent="0.2">
      <c r="A345" s="28" t="s">
        <v>13</v>
      </c>
      <c r="B345" s="24" t="s">
        <v>58</v>
      </c>
      <c r="C345" s="24" t="s">
        <v>30</v>
      </c>
      <c r="D345" s="24" t="s">
        <v>115</v>
      </c>
      <c r="E345" s="24" t="s">
        <v>14</v>
      </c>
      <c r="F345" s="26">
        <f>11933.1+50</f>
        <v>11983.1</v>
      </c>
      <c r="G345" s="26">
        <f>11933.1+50</f>
        <v>11983.1</v>
      </c>
      <c r="H345" s="26">
        <f>11933.1+50</f>
        <v>11983.1</v>
      </c>
    </row>
    <row r="346" spans="1:8" ht="25.5" x14ac:dyDescent="0.2">
      <c r="A346" s="28" t="s">
        <v>286</v>
      </c>
      <c r="B346" s="24" t="s">
        <v>58</v>
      </c>
      <c r="C346" s="24" t="s">
        <v>30</v>
      </c>
      <c r="D346" s="24" t="s">
        <v>115</v>
      </c>
      <c r="E346" s="24" t="s">
        <v>8</v>
      </c>
      <c r="F346" s="26">
        <f>6225</f>
        <v>6225</v>
      </c>
      <c r="G346" s="26">
        <f>6225</f>
        <v>6225</v>
      </c>
      <c r="H346" s="26">
        <f>6225</f>
        <v>6225</v>
      </c>
    </row>
    <row r="347" spans="1:8" ht="51" x14ac:dyDescent="0.2">
      <c r="A347" s="10" t="s">
        <v>400</v>
      </c>
      <c r="B347" s="8" t="s">
        <v>58</v>
      </c>
      <c r="C347" s="8" t="s">
        <v>30</v>
      </c>
      <c r="D347" s="8" t="s">
        <v>101</v>
      </c>
      <c r="E347" s="8"/>
      <c r="F347" s="9">
        <f>F349+F348</f>
        <v>499.4</v>
      </c>
      <c r="G347" s="9">
        <f t="shared" ref="G347:H347" si="54">G349+G348</f>
        <v>499.4</v>
      </c>
      <c r="H347" s="9">
        <f t="shared" si="54"/>
        <v>499.4</v>
      </c>
    </row>
    <row r="348" spans="1:8" ht="25.5" x14ac:dyDescent="0.2">
      <c r="A348" s="28" t="s">
        <v>20</v>
      </c>
      <c r="B348" s="24" t="s">
        <v>58</v>
      </c>
      <c r="C348" s="24" t="s">
        <v>30</v>
      </c>
      <c r="D348" s="24" t="s">
        <v>101</v>
      </c>
      <c r="E348" s="25" t="s">
        <v>12</v>
      </c>
      <c r="F348" s="26">
        <f>3.1+2.1</f>
        <v>5.2</v>
      </c>
      <c r="G348" s="26">
        <f>3.1+2.1</f>
        <v>5.2</v>
      </c>
      <c r="H348" s="26">
        <f>3.1+2.1</f>
        <v>5.2</v>
      </c>
    </row>
    <row r="349" spans="1:8" x14ac:dyDescent="0.2">
      <c r="A349" s="28" t="s">
        <v>13</v>
      </c>
      <c r="B349" s="24" t="s">
        <v>58</v>
      </c>
      <c r="C349" s="24" t="s">
        <v>30</v>
      </c>
      <c r="D349" s="24" t="s">
        <v>101</v>
      </c>
      <c r="E349" s="24" t="s">
        <v>14</v>
      </c>
      <c r="F349" s="26">
        <f>494.2</f>
        <v>494.2</v>
      </c>
      <c r="G349" s="26">
        <f>494.2</f>
        <v>494.2</v>
      </c>
      <c r="H349" s="26">
        <f>494.2</f>
        <v>494.2</v>
      </c>
    </row>
    <row r="350" spans="1:8" ht="51" x14ac:dyDescent="0.2">
      <c r="A350" s="10" t="s">
        <v>401</v>
      </c>
      <c r="B350" s="8" t="s">
        <v>58</v>
      </c>
      <c r="C350" s="8" t="s">
        <v>30</v>
      </c>
      <c r="D350" s="8" t="s">
        <v>118</v>
      </c>
      <c r="E350" s="8"/>
      <c r="F350" s="9">
        <f>F352+F351</f>
        <v>12.7</v>
      </c>
      <c r="G350" s="9">
        <f>G352+G351</f>
        <v>12.7</v>
      </c>
      <c r="H350" s="9">
        <f>H352+H351</f>
        <v>12.7</v>
      </c>
    </row>
    <row r="351" spans="1:8" ht="25.5" x14ac:dyDescent="0.2">
      <c r="A351" s="28" t="s">
        <v>20</v>
      </c>
      <c r="B351" s="24" t="s">
        <v>58</v>
      </c>
      <c r="C351" s="24" t="s">
        <v>30</v>
      </c>
      <c r="D351" s="24" t="s">
        <v>118</v>
      </c>
      <c r="E351" s="25" t="s">
        <v>12</v>
      </c>
      <c r="F351" s="26">
        <f>0.1</f>
        <v>0.1</v>
      </c>
      <c r="G351" s="26">
        <f>0.1</f>
        <v>0.1</v>
      </c>
      <c r="H351" s="26">
        <f>0.1</f>
        <v>0.1</v>
      </c>
    </row>
    <row r="352" spans="1:8" x14ac:dyDescent="0.2">
      <c r="A352" s="28" t="s">
        <v>13</v>
      </c>
      <c r="B352" s="24" t="s">
        <v>58</v>
      </c>
      <c r="C352" s="24" t="s">
        <v>30</v>
      </c>
      <c r="D352" s="24" t="s">
        <v>118</v>
      </c>
      <c r="E352" s="24" t="s">
        <v>14</v>
      </c>
      <c r="F352" s="26">
        <f>12.6</f>
        <v>12.6</v>
      </c>
      <c r="G352" s="26">
        <f>12.6</f>
        <v>12.6</v>
      </c>
      <c r="H352" s="26">
        <f>12.6</f>
        <v>12.6</v>
      </c>
    </row>
    <row r="353" spans="1:8" ht="51" x14ac:dyDescent="0.2">
      <c r="A353" s="10" t="s">
        <v>402</v>
      </c>
      <c r="B353" s="8" t="s">
        <v>58</v>
      </c>
      <c r="C353" s="8" t="s">
        <v>30</v>
      </c>
      <c r="D353" s="8" t="s">
        <v>102</v>
      </c>
      <c r="E353" s="8"/>
      <c r="F353" s="9">
        <f>F355+F354</f>
        <v>690.6</v>
      </c>
      <c r="G353" s="9">
        <f t="shared" ref="G353:H353" si="55">G355+G354</f>
        <v>690.6</v>
      </c>
      <c r="H353" s="9">
        <f t="shared" si="55"/>
        <v>690.6</v>
      </c>
    </row>
    <row r="354" spans="1:8" ht="25.5" x14ac:dyDescent="0.2">
      <c r="A354" s="28" t="s">
        <v>20</v>
      </c>
      <c r="B354" s="24" t="s">
        <v>58</v>
      </c>
      <c r="C354" s="24" t="s">
        <v>30</v>
      </c>
      <c r="D354" s="24" t="s">
        <v>102</v>
      </c>
      <c r="E354" s="25" t="s">
        <v>12</v>
      </c>
      <c r="F354" s="26">
        <f>9.2+1.5</f>
        <v>10.7</v>
      </c>
      <c r="G354" s="26">
        <f>9.2+1.5</f>
        <v>10.7</v>
      </c>
      <c r="H354" s="26">
        <f>9.2+1.5</f>
        <v>10.7</v>
      </c>
    </row>
    <row r="355" spans="1:8" x14ac:dyDescent="0.2">
      <c r="A355" s="28" t="s">
        <v>13</v>
      </c>
      <c r="B355" s="24" t="s">
        <v>58</v>
      </c>
      <c r="C355" s="24" t="s">
        <v>30</v>
      </c>
      <c r="D355" s="24" t="s">
        <v>102</v>
      </c>
      <c r="E355" s="24" t="s">
        <v>14</v>
      </c>
      <c r="F355" s="26">
        <f>679.9</f>
        <v>679.9</v>
      </c>
      <c r="G355" s="26">
        <f>679.9</f>
        <v>679.9</v>
      </c>
      <c r="H355" s="26">
        <f>679.9</f>
        <v>679.9</v>
      </c>
    </row>
    <row r="356" spans="1:8" ht="25.5" x14ac:dyDescent="0.2">
      <c r="A356" s="10" t="s">
        <v>403</v>
      </c>
      <c r="B356" s="8" t="s">
        <v>58</v>
      </c>
      <c r="C356" s="8" t="s">
        <v>30</v>
      </c>
      <c r="D356" s="8" t="s">
        <v>112</v>
      </c>
      <c r="E356" s="8"/>
      <c r="F356" s="9">
        <f>F358+F357</f>
        <v>92227</v>
      </c>
      <c r="G356" s="9">
        <f>G358+G357</f>
        <v>92227</v>
      </c>
      <c r="H356" s="9">
        <f>H358+H357</f>
        <v>92227</v>
      </c>
    </row>
    <row r="357" spans="1:8" ht="25.5" x14ac:dyDescent="0.2">
      <c r="A357" s="28" t="s">
        <v>20</v>
      </c>
      <c r="B357" s="24" t="s">
        <v>58</v>
      </c>
      <c r="C357" s="24" t="s">
        <v>30</v>
      </c>
      <c r="D357" s="24" t="s">
        <v>112</v>
      </c>
      <c r="E357" s="25" t="s">
        <v>12</v>
      </c>
      <c r="F357" s="26">
        <f>38+400</f>
        <v>438</v>
      </c>
      <c r="G357" s="26">
        <f>38+400</f>
        <v>438</v>
      </c>
      <c r="H357" s="26">
        <f>38+400</f>
        <v>438</v>
      </c>
    </row>
    <row r="358" spans="1:8" x14ac:dyDescent="0.2">
      <c r="A358" s="28" t="s">
        <v>13</v>
      </c>
      <c r="B358" s="24" t="s">
        <v>58</v>
      </c>
      <c r="C358" s="24" t="s">
        <v>30</v>
      </c>
      <c r="D358" s="24" t="s">
        <v>112</v>
      </c>
      <c r="E358" s="24" t="s">
        <v>14</v>
      </c>
      <c r="F358" s="26">
        <f>91789</f>
        <v>91789</v>
      </c>
      <c r="G358" s="26">
        <f>91789</f>
        <v>91789</v>
      </c>
      <c r="H358" s="26">
        <f>91789</f>
        <v>91789</v>
      </c>
    </row>
    <row r="359" spans="1:8" ht="102" x14ac:dyDescent="0.2">
      <c r="A359" s="10" t="s">
        <v>404</v>
      </c>
      <c r="B359" s="8" t="s">
        <v>58</v>
      </c>
      <c r="C359" s="8" t="s">
        <v>30</v>
      </c>
      <c r="D359" s="8" t="s">
        <v>119</v>
      </c>
      <c r="E359" s="8"/>
      <c r="F359" s="9">
        <f>F360</f>
        <v>1.2</v>
      </c>
      <c r="G359" s="9">
        <f>G360</f>
        <v>1.2</v>
      </c>
      <c r="H359" s="9">
        <f>H360</f>
        <v>1.2</v>
      </c>
    </row>
    <row r="360" spans="1:8" x14ac:dyDescent="0.2">
      <c r="A360" s="27" t="s">
        <v>13</v>
      </c>
      <c r="B360" s="24" t="s">
        <v>58</v>
      </c>
      <c r="C360" s="24" t="s">
        <v>30</v>
      </c>
      <c r="D360" s="24" t="s">
        <v>119</v>
      </c>
      <c r="E360" s="24" t="s">
        <v>14</v>
      </c>
      <c r="F360" s="26">
        <f>1.2</f>
        <v>1.2</v>
      </c>
      <c r="G360" s="26">
        <v>1.2</v>
      </c>
      <c r="H360" s="26">
        <v>1.2</v>
      </c>
    </row>
    <row r="361" spans="1:8" ht="76.5" x14ac:dyDescent="0.2">
      <c r="A361" s="10" t="s">
        <v>405</v>
      </c>
      <c r="B361" s="8" t="s">
        <v>58</v>
      </c>
      <c r="C361" s="8" t="s">
        <v>30</v>
      </c>
      <c r="D361" s="8" t="s">
        <v>125</v>
      </c>
      <c r="E361" s="8"/>
      <c r="F361" s="9">
        <f>F362</f>
        <v>34</v>
      </c>
      <c r="G361" s="9">
        <f>G362</f>
        <v>34</v>
      </c>
      <c r="H361" s="9">
        <f>H362</f>
        <v>34</v>
      </c>
    </row>
    <row r="362" spans="1:8" ht="51" x14ac:dyDescent="0.2">
      <c r="A362" s="23" t="s">
        <v>9</v>
      </c>
      <c r="B362" s="24" t="s">
        <v>58</v>
      </c>
      <c r="C362" s="24" t="s">
        <v>30</v>
      </c>
      <c r="D362" s="24" t="s">
        <v>125</v>
      </c>
      <c r="E362" s="24" t="s">
        <v>10</v>
      </c>
      <c r="F362" s="26">
        <f>34</f>
        <v>34</v>
      </c>
      <c r="G362" s="26">
        <f>34</f>
        <v>34</v>
      </c>
      <c r="H362" s="26">
        <f>34</f>
        <v>34</v>
      </c>
    </row>
    <row r="363" spans="1:8" ht="51" x14ac:dyDescent="0.2">
      <c r="A363" s="10" t="s">
        <v>406</v>
      </c>
      <c r="B363" s="8" t="s">
        <v>58</v>
      </c>
      <c r="C363" s="8" t="s">
        <v>30</v>
      </c>
      <c r="D363" s="8" t="s">
        <v>116</v>
      </c>
      <c r="E363" s="8"/>
      <c r="F363" s="9">
        <f>F365+F364</f>
        <v>3440</v>
      </c>
      <c r="G363" s="9">
        <f>G365+G364</f>
        <v>3440</v>
      </c>
      <c r="H363" s="9">
        <f>H365+H364</f>
        <v>3440</v>
      </c>
    </row>
    <row r="364" spans="1:8" ht="25.5" x14ac:dyDescent="0.2">
      <c r="A364" s="28" t="s">
        <v>20</v>
      </c>
      <c r="B364" s="24" t="s">
        <v>58</v>
      </c>
      <c r="C364" s="24" t="s">
        <v>30</v>
      </c>
      <c r="D364" s="24" t="s">
        <v>116</v>
      </c>
      <c r="E364" s="25" t="s">
        <v>12</v>
      </c>
      <c r="F364" s="26">
        <f>2</f>
        <v>2</v>
      </c>
      <c r="G364" s="26">
        <f>2</f>
        <v>2</v>
      </c>
      <c r="H364" s="26">
        <f>2</f>
        <v>2</v>
      </c>
    </row>
    <row r="365" spans="1:8" x14ac:dyDescent="0.2">
      <c r="A365" s="28" t="s">
        <v>13</v>
      </c>
      <c r="B365" s="24" t="s">
        <v>58</v>
      </c>
      <c r="C365" s="24" t="s">
        <v>30</v>
      </c>
      <c r="D365" s="24" t="s">
        <v>116</v>
      </c>
      <c r="E365" s="24" t="s">
        <v>14</v>
      </c>
      <c r="F365" s="26">
        <f>3438</f>
        <v>3438</v>
      </c>
      <c r="G365" s="26">
        <f>3438</f>
        <v>3438</v>
      </c>
      <c r="H365" s="26">
        <f>3438</f>
        <v>3438</v>
      </c>
    </row>
    <row r="366" spans="1:8" ht="38.25" x14ac:dyDescent="0.2">
      <c r="A366" s="10" t="s">
        <v>407</v>
      </c>
      <c r="B366" s="8" t="s">
        <v>58</v>
      </c>
      <c r="C366" s="8" t="s">
        <v>30</v>
      </c>
      <c r="D366" s="8" t="s">
        <v>122</v>
      </c>
      <c r="E366" s="8"/>
      <c r="F366" s="9">
        <f>F368+F367</f>
        <v>23947</v>
      </c>
      <c r="G366" s="9">
        <f>G368+G367</f>
        <v>23651</v>
      </c>
      <c r="H366" s="9">
        <f>H368+H367</f>
        <v>23355</v>
      </c>
    </row>
    <row r="367" spans="1:8" ht="25.5" x14ac:dyDescent="0.2">
      <c r="A367" s="28" t="s">
        <v>20</v>
      </c>
      <c r="B367" s="24" t="s">
        <v>58</v>
      </c>
      <c r="C367" s="24" t="s">
        <v>30</v>
      </c>
      <c r="D367" s="24" t="s">
        <v>122</v>
      </c>
      <c r="E367" s="25" t="s">
        <v>12</v>
      </c>
      <c r="F367" s="26">
        <f>315+45</f>
        <v>360</v>
      </c>
      <c r="G367" s="26">
        <f>315+45</f>
        <v>360</v>
      </c>
      <c r="H367" s="26">
        <f>315+45</f>
        <v>360</v>
      </c>
    </row>
    <row r="368" spans="1:8" x14ac:dyDescent="0.2">
      <c r="A368" s="28" t="s">
        <v>13</v>
      </c>
      <c r="B368" s="24" t="s">
        <v>58</v>
      </c>
      <c r="C368" s="24" t="s">
        <v>30</v>
      </c>
      <c r="D368" s="24" t="s">
        <v>122</v>
      </c>
      <c r="E368" s="24" t="s">
        <v>14</v>
      </c>
      <c r="F368" s="26">
        <f>23587</f>
        <v>23587</v>
      </c>
      <c r="G368" s="26">
        <f>23291</f>
        <v>23291</v>
      </c>
      <c r="H368" s="26">
        <f>22995</f>
        <v>22995</v>
      </c>
    </row>
    <row r="369" spans="1:8" ht="51" x14ac:dyDescent="0.2">
      <c r="A369" s="10" t="s">
        <v>408</v>
      </c>
      <c r="B369" s="8" t="s">
        <v>58</v>
      </c>
      <c r="C369" s="8" t="s">
        <v>30</v>
      </c>
      <c r="D369" s="8" t="s">
        <v>117</v>
      </c>
      <c r="E369" s="8"/>
      <c r="F369" s="9">
        <f>F371+F370</f>
        <v>104</v>
      </c>
      <c r="G369" s="9">
        <f>G371+G370</f>
        <v>104</v>
      </c>
      <c r="H369" s="9">
        <f>H371+H370</f>
        <v>104</v>
      </c>
    </row>
    <row r="370" spans="1:8" ht="25.5" x14ac:dyDescent="0.2">
      <c r="A370" s="28" t="s">
        <v>20</v>
      </c>
      <c r="B370" s="24" t="s">
        <v>58</v>
      </c>
      <c r="C370" s="24" t="s">
        <v>30</v>
      </c>
      <c r="D370" s="24" t="s">
        <v>117</v>
      </c>
      <c r="E370" s="25" t="s">
        <v>12</v>
      </c>
      <c r="F370" s="26">
        <f>1.3+0.3</f>
        <v>1.6</v>
      </c>
      <c r="G370" s="26">
        <f>1.3+0.3</f>
        <v>1.6</v>
      </c>
      <c r="H370" s="26">
        <f>1.3+0.3</f>
        <v>1.6</v>
      </c>
    </row>
    <row r="371" spans="1:8" x14ac:dyDescent="0.2">
      <c r="A371" s="28" t="s">
        <v>13</v>
      </c>
      <c r="B371" s="24" t="s">
        <v>58</v>
      </c>
      <c r="C371" s="24" t="s">
        <v>30</v>
      </c>
      <c r="D371" s="24" t="s">
        <v>117</v>
      </c>
      <c r="E371" s="24" t="s">
        <v>14</v>
      </c>
      <c r="F371" s="26">
        <f>102.4</f>
        <v>102.4</v>
      </c>
      <c r="G371" s="26">
        <f>102.4</f>
        <v>102.4</v>
      </c>
      <c r="H371" s="26">
        <f>102.4</f>
        <v>102.4</v>
      </c>
    </row>
    <row r="372" spans="1:8" ht="63.75" x14ac:dyDescent="0.2">
      <c r="A372" s="10" t="s">
        <v>409</v>
      </c>
      <c r="B372" s="8" t="s">
        <v>58</v>
      </c>
      <c r="C372" s="8" t="s">
        <v>30</v>
      </c>
      <c r="D372" s="8" t="s">
        <v>120</v>
      </c>
      <c r="E372" s="8"/>
      <c r="F372" s="9">
        <f>F374+F373</f>
        <v>857</v>
      </c>
      <c r="G372" s="9">
        <f>G374+G373</f>
        <v>857</v>
      </c>
      <c r="H372" s="9">
        <f>H374+H373</f>
        <v>857</v>
      </c>
    </row>
    <row r="373" spans="1:8" ht="25.5" x14ac:dyDescent="0.2">
      <c r="A373" s="28" t="s">
        <v>20</v>
      </c>
      <c r="B373" s="24" t="s">
        <v>58</v>
      </c>
      <c r="C373" s="24" t="s">
        <v>30</v>
      </c>
      <c r="D373" s="24" t="s">
        <v>120</v>
      </c>
      <c r="E373" s="25" t="s">
        <v>12</v>
      </c>
      <c r="F373" s="26">
        <f>3.9</f>
        <v>3.9</v>
      </c>
      <c r="G373" s="26">
        <f>3.9</f>
        <v>3.9</v>
      </c>
      <c r="H373" s="26">
        <f>3.9</f>
        <v>3.9</v>
      </c>
    </row>
    <row r="374" spans="1:8" x14ac:dyDescent="0.2">
      <c r="A374" s="28" t="s">
        <v>13</v>
      </c>
      <c r="B374" s="24" t="s">
        <v>58</v>
      </c>
      <c r="C374" s="24" t="s">
        <v>30</v>
      </c>
      <c r="D374" s="24" t="s">
        <v>120</v>
      </c>
      <c r="E374" s="24" t="s">
        <v>14</v>
      </c>
      <c r="F374" s="26">
        <f>853.1</f>
        <v>853.1</v>
      </c>
      <c r="G374" s="26">
        <f>853.1</f>
        <v>853.1</v>
      </c>
      <c r="H374" s="26">
        <f>853.1</f>
        <v>853.1</v>
      </c>
    </row>
    <row r="375" spans="1:8" ht="38.25" x14ac:dyDescent="0.2">
      <c r="A375" s="10" t="s">
        <v>410</v>
      </c>
      <c r="B375" s="8" t="s">
        <v>58</v>
      </c>
      <c r="C375" s="8" t="s">
        <v>30</v>
      </c>
      <c r="D375" s="8" t="s">
        <v>121</v>
      </c>
      <c r="E375" s="8"/>
      <c r="F375" s="9">
        <f>F377+F376</f>
        <v>284</v>
      </c>
      <c r="G375" s="9">
        <f>G377+G376</f>
        <v>284</v>
      </c>
      <c r="H375" s="9">
        <f>H377+H376</f>
        <v>284</v>
      </c>
    </row>
    <row r="376" spans="1:8" ht="25.5" x14ac:dyDescent="0.2">
      <c r="A376" s="28" t="s">
        <v>20</v>
      </c>
      <c r="B376" s="24" t="s">
        <v>58</v>
      </c>
      <c r="C376" s="24" t="s">
        <v>30</v>
      </c>
      <c r="D376" s="24" t="s">
        <v>121</v>
      </c>
      <c r="E376" s="25" t="s">
        <v>12</v>
      </c>
      <c r="F376" s="26">
        <f>5.3+0.4</f>
        <v>5.7</v>
      </c>
      <c r="G376" s="26">
        <f>5.3+0.4</f>
        <v>5.7</v>
      </c>
      <c r="H376" s="26">
        <f>5.3+0.4</f>
        <v>5.7</v>
      </c>
    </row>
    <row r="377" spans="1:8" x14ac:dyDescent="0.2">
      <c r="A377" s="28" t="s">
        <v>13</v>
      </c>
      <c r="B377" s="24" t="s">
        <v>58</v>
      </c>
      <c r="C377" s="24" t="s">
        <v>30</v>
      </c>
      <c r="D377" s="24" t="s">
        <v>121</v>
      </c>
      <c r="E377" s="24" t="s">
        <v>14</v>
      </c>
      <c r="F377" s="26">
        <f>278.3</f>
        <v>278.3</v>
      </c>
      <c r="G377" s="26">
        <f>278.3</f>
        <v>278.3</v>
      </c>
      <c r="H377" s="26">
        <f>278.3</f>
        <v>278.3</v>
      </c>
    </row>
    <row r="378" spans="1:8" ht="89.25" x14ac:dyDescent="0.2">
      <c r="A378" s="10" t="s">
        <v>411</v>
      </c>
      <c r="B378" s="8" t="s">
        <v>58</v>
      </c>
      <c r="C378" s="8" t="s">
        <v>30</v>
      </c>
      <c r="D378" s="8" t="s">
        <v>123</v>
      </c>
      <c r="E378" s="8"/>
      <c r="F378" s="9">
        <f>F380+F379</f>
        <v>87263</v>
      </c>
      <c r="G378" s="9">
        <f>G380+G379</f>
        <v>87263</v>
      </c>
      <c r="H378" s="9">
        <f>H380+H379</f>
        <v>87263</v>
      </c>
    </row>
    <row r="379" spans="1:8" ht="25.5" x14ac:dyDescent="0.2">
      <c r="A379" s="28" t="s">
        <v>20</v>
      </c>
      <c r="B379" s="24" t="s">
        <v>58</v>
      </c>
      <c r="C379" s="24" t="s">
        <v>30</v>
      </c>
      <c r="D379" s="24" t="s">
        <v>123</v>
      </c>
      <c r="E379" s="25" t="s">
        <v>12</v>
      </c>
      <c r="F379" s="26">
        <f>317+162+115+35+55+22+125+46+1+1.5</f>
        <v>879.5</v>
      </c>
      <c r="G379" s="26">
        <f>317+162+115+35+55+22+125+46+1+1.5</f>
        <v>879.5</v>
      </c>
      <c r="H379" s="26">
        <f>317+162+115+35+55+22+125+46+1+1.5</f>
        <v>879.5</v>
      </c>
    </row>
    <row r="380" spans="1:8" x14ac:dyDescent="0.2">
      <c r="A380" s="28" t="s">
        <v>13</v>
      </c>
      <c r="B380" s="24" t="s">
        <v>58</v>
      </c>
      <c r="C380" s="24" t="s">
        <v>30</v>
      </c>
      <c r="D380" s="24" t="s">
        <v>123</v>
      </c>
      <c r="E380" s="24" t="s">
        <v>14</v>
      </c>
      <c r="F380" s="26">
        <f>49601.5+12870+7200+16500+212</f>
        <v>86383.5</v>
      </c>
      <c r="G380" s="26">
        <f>49601.5+12870+7200+16500+212</f>
        <v>86383.5</v>
      </c>
      <c r="H380" s="26">
        <f>49601.5+12870+7200+16500+212</f>
        <v>86383.5</v>
      </c>
    </row>
    <row r="381" spans="1:8" ht="63.75" x14ac:dyDescent="0.2">
      <c r="A381" s="10" t="s">
        <v>412</v>
      </c>
      <c r="B381" s="8" t="s">
        <v>58</v>
      </c>
      <c r="C381" s="8" t="s">
        <v>30</v>
      </c>
      <c r="D381" s="8" t="s">
        <v>96</v>
      </c>
      <c r="E381" s="8"/>
      <c r="F381" s="9">
        <f>F383+F382</f>
        <v>1295</v>
      </c>
      <c r="G381" s="9">
        <f>G383+G382</f>
        <v>1295</v>
      </c>
      <c r="H381" s="9">
        <f>H383+H382</f>
        <v>1295</v>
      </c>
    </row>
    <row r="382" spans="1:8" ht="25.5" x14ac:dyDescent="0.2">
      <c r="A382" s="28" t="s">
        <v>20</v>
      </c>
      <c r="B382" s="24" t="s">
        <v>58</v>
      </c>
      <c r="C382" s="24" t="s">
        <v>30</v>
      </c>
      <c r="D382" s="24" t="s">
        <v>96</v>
      </c>
      <c r="E382" s="25" t="s">
        <v>12</v>
      </c>
      <c r="F382" s="26">
        <f>23</f>
        <v>23</v>
      </c>
      <c r="G382" s="26">
        <f>23</f>
        <v>23</v>
      </c>
      <c r="H382" s="26">
        <f>23</f>
        <v>23</v>
      </c>
    </row>
    <row r="383" spans="1:8" x14ac:dyDescent="0.2">
      <c r="A383" s="28" t="s">
        <v>13</v>
      </c>
      <c r="B383" s="24" t="s">
        <v>58</v>
      </c>
      <c r="C383" s="24" t="s">
        <v>30</v>
      </c>
      <c r="D383" s="24" t="s">
        <v>96</v>
      </c>
      <c r="E383" s="24" t="s">
        <v>14</v>
      </c>
      <c r="F383" s="26">
        <f>1109+163</f>
        <v>1272</v>
      </c>
      <c r="G383" s="26">
        <f>1109+163</f>
        <v>1272</v>
      </c>
      <c r="H383" s="26">
        <f>1109+163</f>
        <v>1272</v>
      </c>
    </row>
    <row r="384" spans="1:8" x14ac:dyDescent="0.2">
      <c r="A384" s="14" t="s">
        <v>69</v>
      </c>
      <c r="B384" s="11" t="s">
        <v>58</v>
      </c>
      <c r="C384" s="11" t="s">
        <v>32</v>
      </c>
      <c r="D384" s="11"/>
      <c r="E384" s="11"/>
      <c r="F384" s="12">
        <f>F385+F387+F389+F395+F400+F393+F403+F397</f>
        <v>180466.1</v>
      </c>
      <c r="G384" s="12">
        <f t="shared" ref="G384:H384" si="56">G385+G387+G389+G395+G400+G393+G403+G397</f>
        <v>181149.1</v>
      </c>
      <c r="H384" s="12">
        <f t="shared" si="56"/>
        <v>176934.1</v>
      </c>
    </row>
    <row r="385" spans="1:8" ht="38.25" x14ac:dyDescent="0.2">
      <c r="A385" s="10" t="s">
        <v>413</v>
      </c>
      <c r="B385" s="8" t="s">
        <v>58</v>
      </c>
      <c r="C385" s="6" t="s">
        <v>32</v>
      </c>
      <c r="D385" s="8" t="s">
        <v>140</v>
      </c>
      <c r="E385" s="8"/>
      <c r="F385" s="9">
        <f>F386</f>
        <v>18022</v>
      </c>
      <c r="G385" s="9">
        <f>G386</f>
        <v>18022</v>
      </c>
      <c r="H385" s="9">
        <f>H386</f>
        <v>18022</v>
      </c>
    </row>
    <row r="386" spans="1:8" ht="25.5" x14ac:dyDescent="0.2">
      <c r="A386" s="28" t="s">
        <v>78</v>
      </c>
      <c r="B386" s="24" t="s">
        <v>58</v>
      </c>
      <c r="C386" s="24" t="s">
        <v>32</v>
      </c>
      <c r="D386" s="8" t="s">
        <v>140</v>
      </c>
      <c r="E386" s="24" t="s">
        <v>15</v>
      </c>
      <c r="F386" s="26">
        <v>18022</v>
      </c>
      <c r="G386" s="26">
        <v>18022</v>
      </c>
      <c r="H386" s="26">
        <v>18022</v>
      </c>
    </row>
    <row r="387" spans="1:8" ht="25.5" x14ac:dyDescent="0.2">
      <c r="A387" s="10" t="s">
        <v>414</v>
      </c>
      <c r="B387" s="8" t="s">
        <v>58</v>
      </c>
      <c r="C387" s="8" t="s">
        <v>32</v>
      </c>
      <c r="D387" s="8" t="s">
        <v>138</v>
      </c>
      <c r="E387" s="8"/>
      <c r="F387" s="9">
        <f>F388</f>
        <v>1791.1</v>
      </c>
      <c r="G387" s="9">
        <f t="shared" ref="G387:H387" si="57">G388</f>
        <v>1791.1</v>
      </c>
      <c r="H387" s="9">
        <f t="shared" si="57"/>
        <v>1791.1</v>
      </c>
    </row>
    <row r="388" spans="1:8" x14ac:dyDescent="0.2">
      <c r="A388" s="28" t="s">
        <v>13</v>
      </c>
      <c r="B388" s="24" t="s">
        <v>58</v>
      </c>
      <c r="C388" s="24" t="s">
        <v>32</v>
      </c>
      <c r="D388" s="24" t="s">
        <v>138</v>
      </c>
      <c r="E388" s="24" t="s">
        <v>14</v>
      </c>
      <c r="F388" s="26">
        <f>1791.1</f>
        <v>1791.1</v>
      </c>
      <c r="G388" s="26">
        <f>1791.1</f>
        <v>1791.1</v>
      </c>
      <c r="H388" s="26">
        <f>1791.1</f>
        <v>1791.1</v>
      </c>
    </row>
    <row r="389" spans="1:8" ht="38.25" x14ac:dyDescent="0.2">
      <c r="A389" s="10" t="s">
        <v>415</v>
      </c>
      <c r="B389" s="8" t="s">
        <v>58</v>
      </c>
      <c r="C389" s="8" t="s">
        <v>32</v>
      </c>
      <c r="D389" s="8" t="s">
        <v>136</v>
      </c>
      <c r="E389" s="8"/>
      <c r="F389" s="9">
        <f>F391+F392+F390</f>
        <v>6505</v>
      </c>
      <c r="G389" s="9">
        <f>G391+G392+G390</f>
        <v>6505</v>
      </c>
      <c r="H389" s="9">
        <f>H391+H392+H390</f>
        <v>6505</v>
      </c>
    </row>
    <row r="390" spans="1:8" ht="25.5" x14ac:dyDescent="0.2">
      <c r="A390" s="28" t="s">
        <v>20</v>
      </c>
      <c r="B390" s="24" t="s">
        <v>58</v>
      </c>
      <c r="C390" s="24" t="s">
        <v>32</v>
      </c>
      <c r="D390" s="24" t="s">
        <v>136</v>
      </c>
      <c r="E390" s="25" t="s">
        <v>12</v>
      </c>
      <c r="F390" s="26">
        <f>3.5</f>
        <v>3.5</v>
      </c>
      <c r="G390" s="26">
        <f>3.5</f>
        <v>3.5</v>
      </c>
      <c r="H390" s="26">
        <f>3.5</f>
        <v>3.5</v>
      </c>
    </row>
    <row r="391" spans="1:8" x14ac:dyDescent="0.2">
      <c r="A391" s="27" t="s">
        <v>13</v>
      </c>
      <c r="B391" s="24" t="s">
        <v>58</v>
      </c>
      <c r="C391" s="24" t="s">
        <v>32</v>
      </c>
      <c r="D391" s="24" t="s">
        <v>136</v>
      </c>
      <c r="E391" s="30">
        <v>300</v>
      </c>
      <c r="F391" s="26">
        <f>350</f>
        <v>350</v>
      </c>
      <c r="G391" s="26">
        <f>350</f>
        <v>350</v>
      </c>
      <c r="H391" s="26">
        <f>350</f>
        <v>350</v>
      </c>
    </row>
    <row r="392" spans="1:8" ht="25.5" x14ac:dyDescent="0.2">
      <c r="A392" s="28" t="s">
        <v>286</v>
      </c>
      <c r="B392" s="24" t="s">
        <v>58</v>
      </c>
      <c r="C392" s="24" t="s">
        <v>32</v>
      </c>
      <c r="D392" s="24" t="s">
        <v>136</v>
      </c>
      <c r="E392" s="24" t="s">
        <v>8</v>
      </c>
      <c r="F392" s="26">
        <f>6151.5</f>
        <v>6151.5</v>
      </c>
      <c r="G392" s="26">
        <f>6151.5</f>
        <v>6151.5</v>
      </c>
      <c r="H392" s="26">
        <f>6151.5</f>
        <v>6151.5</v>
      </c>
    </row>
    <row r="393" spans="1:8" ht="102" x14ac:dyDescent="0.2">
      <c r="A393" s="10" t="s">
        <v>416</v>
      </c>
      <c r="B393" s="8" t="s">
        <v>58</v>
      </c>
      <c r="C393" s="8" t="s">
        <v>32</v>
      </c>
      <c r="D393" s="8" t="s">
        <v>137</v>
      </c>
      <c r="E393" s="8"/>
      <c r="F393" s="9">
        <f>F394</f>
        <v>37881</v>
      </c>
      <c r="G393" s="9">
        <f t="shared" ref="G393:H393" si="58">G394</f>
        <v>37881</v>
      </c>
      <c r="H393" s="9">
        <f t="shared" si="58"/>
        <v>37881</v>
      </c>
    </row>
    <row r="394" spans="1:8" x14ac:dyDescent="0.2">
      <c r="A394" s="28" t="s">
        <v>13</v>
      </c>
      <c r="B394" s="24" t="s">
        <v>58</v>
      </c>
      <c r="C394" s="24" t="s">
        <v>32</v>
      </c>
      <c r="D394" s="24" t="s">
        <v>137</v>
      </c>
      <c r="E394" s="24" t="s">
        <v>14</v>
      </c>
      <c r="F394" s="26">
        <f>29732+8149</f>
        <v>37881</v>
      </c>
      <c r="G394" s="26">
        <f t="shared" ref="G394:H394" si="59">29732+8149</f>
        <v>37881</v>
      </c>
      <c r="H394" s="26">
        <f t="shared" si="59"/>
        <v>37881</v>
      </c>
    </row>
    <row r="395" spans="1:8" ht="51" x14ac:dyDescent="0.2">
      <c r="A395" s="10" t="s">
        <v>417</v>
      </c>
      <c r="B395" s="8" t="s">
        <v>58</v>
      </c>
      <c r="C395" s="8" t="s">
        <v>32</v>
      </c>
      <c r="D395" s="8" t="s">
        <v>107</v>
      </c>
      <c r="E395" s="8"/>
      <c r="F395" s="9">
        <f>F396</f>
        <v>736</v>
      </c>
      <c r="G395" s="9">
        <f>G396</f>
        <v>770</v>
      </c>
      <c r="H395" s="9">
        <f>H396</f>
        <v>801</v>
      </c>
    </row>
    <row r="396" spans="1:8" x14ac:dyDescent="0.2">
      <c r="A396" s="28" t="s">
        <v>13</v>
      </c>
      <c r="B396" s="24" t="s">
        <v>58</v>
      </c>
      <c r="C396" s="24" t="s">
        <v>32</v>
      </c>
      <c r="D396" s="24" t="s">
        <v>107</v>
      </c>
      <c r="E396" s="24" t="s">
        <v>14</v>
      </c>
      <c r="F396" s="26">
        <f>736</f>
        <v>736</v>
      </c>
      <c r="G396" s="26">
        <f>770</f>
        <v>770</v>
      </c>
      <c r="H396" s="26">
        <f>801</f>
        <v>801</v>
      </c>
    </row>
    <row r="397" spans="1:8" ht="89.25" x14ac:dyDescent="0.2">
      <c r="A397" s="10" t="s">
        <v>418</v>
      </c>
      <c r="B397" s="8" t="s">
        <v>58</v>
      </c>
      <c r="C397" s="8" t="s">
        <v>32</v>
      </c>
      <c r="D397" s="8" t="s">
        <v>111</v>
      </c>
      <c r="E397" s="8"/>
      <c r="F397" s="9">
        <f>F399+F398</f>
        <v>54334</v>
      </c>
      <c r="G397" s="9">
        <f>G399+G398</f>
        <v>54589</v>
      </c>
      <c r="H397" s="9">
        <f>H399+H398</f>
        <v>54439</v>
      </c>
    </row>
    <row r="398" spans="1:8" ht="25.5" x14ac:dyDescent="0.2">
      <c r="A398" s="28" t="s">
        <v>20</v>
      </c>
      <c r="B398" s="24" t="s">
        <v>58</v>
      </c>
      <c r="C398" s="24" t="s">
        <v>32</v>
      </c>
      <c r="D398" s="8" t="s">
        <v>111</v>
      </c>
      <c r="E398" s="25" t="s">
        <v>12</v>
      </c>
      <c r="F398" s="26">
        <v>2</v>
      </c>
      <c r="G398" s="26">
        <v>2</v>
      </c>
      <c r="H398" s="26">
        <v>2</v>
      </c>
    </row>
    <row r="399" spans="1:8" x14ac:dyDescent="0.2">
      <c r="A399" s="28" t="s">
        <v>13</v>
      </c>
      <c r="B399" s="24" t="s">
        <v>58</v>
      </c>
      <c r="C399" s="24" t="s">
        <v>32</v>
      </c>
      <c r="D399" s="8" t="s">
        <v>111</v>
      </c>
      <c r="E399" s="24" t="s">
        <v>14</v>
      </c>
      <c r="F399" s="26">
        <f>54332</f>
        <v>54332</v>
      </c>
      <c r="G399" s="26">
        <f>54587</f>
        <v>54587</v>
      </c>
      <c r="H399" s="26">
        <f>54437</f>
        <v>54437</v>
      </c>
    </row>
    <row r="400" spans="1:8" ht="76.5" x14ac:dyDescent="0.2">
      <c r="A400" s="50" t="s">
        <v>419</v>
      </c>
      <c r="B400" s="8" t="s">
        <v>58</v>
      </c>
      <c r="C400" s="8" t="s">
        <v>32</v>
      </c>
      <c r="D400" s="8" t="s">
        <v>141</v>
      </c>
      <c r="E400" s="8"/>
      <c r="F400" s="9">
        <f>F402+F401</f>
        <v>30904</v>
      </c>
      <c r="G400" s="9">
        <f>G402+G401</f>
        <v>31298</v>
      </c>
      <c r="H400" s="9">
        <f>H402+H401</f>
        <v>27202</v>
      </c>
    </row>
    <row r="401" spans="1:8" ht="25.5" x14ac:dyDescent="0.2">
      <c r="A401" s="28" t="s">
        <v>20</v>
      </c>
      <c r="B401" s="24" t="s">
        <v>58</v>
      </c>
      <c r="C401" s="24" t="s">
        <v>32</v>
      </c>
      <c r="D401" s="24" t="s">
        <v>141</v>
      </c>
      <c r="E401" s="25" t="s">
        <v>12</v>
      </c>
      <c r="F401" s="26">
        <f>155</f>
        <v>155</v>
      </c>
      <c r="G401" s="26">
        <f>157</f>
        <v>157</v>
      </c>
      <c r="H401" s="26">
        <f>136</f>
        <v>136</v>
      </c>
    </row>
    <row r="402" spans="1:8" x14ac:dyDescent="0.2">
      <c r="A402" s="28" t="s">
        <v>13</v>
      </c>
      <c r="B402" s="24" t="s">
        <v>58</v>
      </c>
      <c r="C402" s="24" t="s">
        <v>32</v>
      </c>
      <c r="D402" s="24" t="s">
        <v>141</v>
      </c>
      <c r="E402" s="24" t="s">
        <v>14</v>
      </c>
      <c r="F402" s="26">
        <f>30749</f>
        <v>30749</v>
      </c>
      <c r="G402" s="26">
        <f>31141</f>
        <v>31141</v>
      </c>
      <c r="H402" s="26">
        <f>27066</f>
        <v>27066</v>
      </c>
    </row>
    <row r="403" spans="1:8" ht="38.25" x14ac:dyDescent="0.2">
      <c r="A403" s="10" t="s">
        <v>420</v>
      </c>
      <c r="B403" s="8" t="s">
        <v>58</v>
      </c>
      <c r="C403" s="8" t="s">
        <v>32</v>
      </c>
      <c r="D403" s="8" t="s">
        <v>113</v>
      </c>
      <c r="E403" s="8"/>
      <c r="F403" s="9">
        <f>F405+F404</f>
        <v>30293</v>
      </c>
      <c r="G403" s="9">
        <f>G405+G404</f>
        <v>30293</v>
      </c>
      <c r="H403" s="9">
        <f>H405+H404</f>
        <v>30293</v>
      </c>
    </row>
    <row r="404" spans="1:8" ht="25.5" x14ac:dyDescent="0.2">
      <c r="A404" s="28" t="s">
        <v>20</v>
      </c>
      <c r="B404" s="24" t="s">
        <v>58</v>
      </c>
      <c r="C404" s="24" t="s">
        <v>32</v>
      </c>
      <c r="D404" s="24" t="s">
        <v>113</v>
      </c>
      <c r="E404" s="25" t="s">
        <v>12</v>
      </c>
      <c r="F404" s="26">
        <f>1</f>
        <v>1</v>
      </c>
      <c r="G404" s="26">
        <f>1</f>
        <v>1</v>
      </c>
      <c r="H404" s="26">
        <f>1</f>
        <v>1</v>
      </c>
    </row>
    <row r="405" spans="1:8" x14ac:dyDescent="0.2">
      <c r="A405" s="28" t="s">
        <v>13</v>
      </c>
      <c r="B405" s="24" t="s">
        <v>58</v>
      </c>
      <c r="C405" s="24" t="s">
        <v>32</v>
      </c>
      <c r="D405" s="24" t="s">
        <v>113</v>
      </c>
      <c r="E405" s="24" t="s">
        <v>14</v>
      </c>
      <c r="F405" s="26">
        <f>30292</f>
        <v>30292</v>
      </c>
      <c r="G405" s="26">
        <f>30292</f>
        <v>30292</v>
      </c>
      <c r="H405" s="26">
        <f>30292</f>
        <v>30292</v>
      </c>
    </row>
    <row r="406" spans="1:8" x14ac:dyDescent="0.2">
      <c r="A406" s="14" t="s">
        <v>0</v>
      </c>
      <c r="B406" s="11" t="s">
        <v>58</v>
      </c>
      <c r="C406" s="11" t="s">
        <v>56</v>
      </c>
      <c r="D406" s="11"/>
      <c r="E406" s="11"/>
      <c r="F406" s="12">
        <f>F407+F410+F414+F416+F423+F419+F421+F427</f>
        <v>24514.400000000001</v>
      </c>
      <c r="G406" s="12">
        <f t="shared" ref="G406:H406" si="60">G407+G410+G414+G416+G423+G419+G421+G427</f>
        <v>24446.400000000001</v>
      </c>
      <c r="H406" s="12">
        <f t="shared" si="60"/>
        <v>24431.4</v>
      </c>
    </row>
    <row r="407" spans="1:8" x14ac:dyDescent="0.2">
      <c r="A407" s="10" t="s">
        <v>421</v>
      </c>
      <c r="B407" s="8" t="s">
        <v>58</v>
      </c>
      <c r="C407" s="8" t="s">
        <v>56</v>
      </c>
      <c r="D407" s="8" t="s">
        <v>422</v>
      </c>
      <c r="E407" s="8"/>
      <c r="F407" s="9">
        <f>F409+F408</f>
        <v>116.19999999999999</v>
      </c>
      <c r="G407" s="9">
        <f>G409+G408</f>
        <v>116.19999999999999</v>
      </c>
      <c r="H407" s="9">
        <f>H409+H408</f>
        <v>116.19999999999999</v>
      </c>
    </row>
    <row r="408" spans="1:8" ht="25.5" x14ac:dyDescent="0.2">
      <c r="A408" s="28" t="s">
        <v>20</v>
      </c>
      <c r="B408" s="24" t="s">
        <v>58</v>
      </c>
      <c r="C408" s="24" t="s">
        <v>56</v>
      </c>
      <c r="D408" s="24" t="s">
        <v>422</v>
      </c>
      <c r="E408" s="25" t="s">
        <v>12</v>
      </c>
      <c r="F408" s="26">
        <v>0.6</v>
      </c>
      <c r="G408" s="26">
        <v>0.6</v>
      </c>
      <c r="H408" s="26">
        <v>0.6</v>
      </c>
    </row>
    <row r="409" spans="1:8" x14ac:dyDescent="0.2">
      <c r="A409" s="28" t="s">
        <v>13</v>
      </c>
      <c r="B409" s="24" t="s">
        <v>58</v>
      </c>
      <c r="C409" s="24" t="s">
        <v>56</v>
      </c>
      <c r="D409" s="24" t="s">
        <v>422</v>
      </c>
      <c r="E409" s="24" t="s">
        <v>14</v>
      </c>
      <c r="F409" s="26">
        <v>115.6</v>
      </c>
      <c r="G409" s="26">
        <v>115.6</v>
      </c>
      <c r="H409" s="26">
        <v>115.6</v>
      </c>
    </row>
    <row r="410" spans="1:8" x14ac:dyDescent="0.2">
      <c r="A410" s="10" t="s">
        <v>424</v>
      </c>
      <c r="B410" s="8" t="s">
        <v>58</v>
      </c>
      <c r="C410" s="8" t="s">
        <v>56</v>
      </c>
      <c r="D410" s="8" t="s">
        <v>423</v>
      </c>
      <c r="E410" s="8"/>
      <c r="F410" s="9">
        <f>F411+F412+F413</f>
        <v>846.9</v>
      </c>
      <c r="G410" s="9">
        <f>G411+G412+G413</f>
        <v>846.9</v>
      </c>
      <c r="H410" s="9">
        <f>H411+H412+H413</f>
        <v>846.9</v>
      </c>
    </row>
    <row r="411" spans="1:8" ht="25.5" x14ac:dyDescent="0.2">
      <c r="A411" s="28" t="s">
        <v>20</v>
      </c>
      <c r="B411" s="24" t="s">
        <v>58</v>
      </c>
      <c r="C411" s="24" t="s">
        <v>56</v>
      </c>
      <c r="D411" s="24" t="s">
        <v>423</v>
      </c>
      <c r="E411" s="24" t="s">
        <v>12</v>
      </c>
      <c r="F411" s="26">
        <v>574.5</v>
      </c>
      <c r="G411" s="26">
        <v>574.5</v>
      </c>
      <c r="H411" s="26">
        <v>574.5</v>
      </c>
    </row>
    <row r="412" spans="1:8" x14ac:dyDescent="0.2">
      <c r="A412" s="28" t="s">
        <v>13</v>
      </c>
      <c r="B412" s="24" t="s">
        <v>58</v>
      </c>
      <c r="C412" s="24" t="s">
        <v>56</v>
      </c>
      <c r="D412" s="24" t="s">
        <v>423</v>
      </c>
      <c r="E412" s="25" t="s">
        <v>14</v>
      </c>
      <c r="F412" s="26">
        <v>227.3</v>
      </c>
      <c r="G412" s="26">
        <v>227.3</v>
      </c>
      <c r="H412" s="26">
        <v>227.3</v>
      </c>
    </row>
    <row r="413" spans="1:8" x14ac:dyDescent="0.2">
      <c r="A413" s="28" t="s">
        <v>16</v>
      </c>
      <c r="B413" s="24" t="s">
        <v>58</v>
      </c>
      <c r="C413" s="24" t="s">
        <v>56</v>
      </c>
      <c r="D413" s="24" t="s">
        <v>423</v>
      </c>
      <c r="E413" s="24" t="s">
        <v>17</v>
      </c>
      <c r="F413" s="26">
        <v>45.1</v>
      </c>
      <c r="G413" s="26">
        <v>45.1</v>
      </c>
      <c r="H413" s="26">
        <v>45.1</v>
      </c>
    </row>
    <row r="414" spans="1:8" x14ac:dyDescent="0.2">
      <c r="A414" s="10" t="s">
        <v>426</v>
      </c>
      <c r="B414" s="8" t="s">
        <v>58</v>
      </c>
      <c r="C414" s="8" t="s">
        <v>56</v>
      </c>
      <c r="D414" s="8" t="s">
        <v>425</v>
      </c>
      <c r="E414" s="8"/>
      <c r="F414" s="9">
        <f>F415</f>
        <v>816</v>
      </c>
      <c r="G414" s="9">
        <f>G415</f>
        <v>816</v>
      </c>
      <c r="H414" s="9">
        <f>H415</f>
        <v>816</v>
      </c>
    </row>
    <row r="415" spans="1:8" ht="25.5" x14ac:dyDescent="0.2">
      <c r="A415" s="28" t="s">
        <v>286</v>
      </c>
      <c r="B415" s="24" t="s">
        <v>58</v>
      </c>
      <c r="C415" s="24" t="s">
        <v>56</v>
      </c>
      <c r="D415" s="24" t="s">
        <v>425</v>
      </c>
      <c r="E415" s="24" t="s">
        <v>8</v>
      </c>
      <c r="F415" s="26">
        <v>816</v>
      </c>
      <c r="G415" s="26">
        <v>816</v>
      </c>
      <c r="H415" s="26">
        <v>816</v>
      </c>
    </row>
    <row r="416" spans="1:8" x14ac:dyDescent="0.2">
      <c r="A416" s="10" t="s">
        <v>427</v>
      </c>
      <c r="B416" s="8" t="s">
        <v>58</v>
      </c>
      <c r="C416" s="8" t="s">
        <v>56</v>
      </c>
      <c r="D416" s="8" t="s">
        <v>428</v>
      </c>
      <c r="E416" s="8"/>
      <c r="F416" s="9">
        <f>F418+F417</f>
        <v>876.6</v>
      </c>
      <c r="G416" s="9">
        <f t="shared" ref="G416:H416" si="61">G418+G417</f>
        <v>876.6</v>
      </c>
      <c r="H416" s="9">
        <f t="shared" si="61"/>
        <v>876.6</v>
      </c>
    </row>
    <row r="417" spans="1:8" ht="25.5" x14ac:dyDescent="0.2">
      <c r="A417" s="28" t="s">
        <v>20</v>
      </c>
      <c r="B417" s="24" t="s">
        <v>58</v>
      </c>
      <c r="C417" s="24" t="s">
        <v>56</v>
      </c>
      <c r="D417" s="24" t="s">
        <v>428</v>
      </c>
      <c r="E417" s="24" t="s">
        <v>12</v>
      </c>
      <c r="F417" s="26">
        <v>360</v>
      </c>
      <c r="G417" s="26">
        <v>360</v>
      </c>
      <c r="H417" s="26">
        <v>360</v>
      </c>
    </row>
    <row r="418" spans="1:8" x14ac:dyDescent="0.2">
      <c r="A418" s="28" t="s">
        <v>13</v>
      </c>
      <c r="B418" s="24" t="s">
        <v>58</v>
      </c>
      <c r="C418" s="24" t="s">
        <v>56</v>
      </c>
      <c r="D418" s="24" t="s">
        <v>428</v>
      </c>
      <c r="E418" s="24" t="s">
        <v>14</v>
      </c>
      <c r="F418" s="26">
        <f>516.6</f>
        <v>516.6</v>
      </c>
      <c r="G418" s="26">
        <f t="shared" ref="G418:H418" si="62">516.6</f>
        <v>516.6</v>
      </c>
      <c r="H418" s="26">
        <f t="shared" si="62"/>
        <v>516.6</v>
      </c>
    </row>
    <row r="419" spans="1:8" ht="25.5" x14ac:dyDescent="0.2">
      <c r="A419" s="10" t="s">
        <v>429</v>
      </c>
      <c r="B419" s="8" t="s">
        <v>58</v>
      </c>
      <c r="C419" s="8" t="s">
        <v>56</v>
      </c>
      <c r="D419" s="8" t="s">
        <v>430</v>
      </c>
      <c r="E419" s="8"/>
      <c r="F419" s="9">
        <f>F420</f>
        <v>2706.7</v>
      </c>
      <c r="G419" s="9">
        <f>G420</f>
        <v>2706.7</v>
      </c>
      <c r="H419" s="9">
        <f>H420</f>
        <v>2706.7</v>
      </c>
    </row>
    <row r="420" spans="1:8" x14ac:dyDescent="0.2">
      <c r="A420" s="28" t="s">
        <v>13</v>
      </c>
      <c r="B420" s="24" t="s">
        <v>58</v>
      </c>
      <c r="C420" s="24" t="s">
        <v>56</v>
      </c>
      <c r="D420" s="24" t="s">
        <v>430</v>
      </c>
      <c r="E420" s="24" t="s">
        <v>14</v>
      </c>
      <c r="F420" s="26">
        <f>2706.7</f>
        <v>2706.7</v>
      </c>
      <c r="G420" s="26">
        <f t="shared" ref="G420:H420" si="63">2706.7</f>
        <v>2706.7</v>
      </c>
      <c r="H420" s="26">
        <f t="shared" si="63"/>
        <v>2706.7</v>
      </c>
    </row>
    <row r="421" spans="1:8" ht="63.75" x14ac:dyDescent="0.2">
      <c r="A421" s="76" t="s">
        <v>431</v>
      </c>
      <c r="B421" s="74" t="s">
        <v>58</v>
      </c>
      <c r="C421" s="8" t="s">
        <v>56</v>
      </c>
      <c r="D421" s="8" t="s">
        <v>432</v>
      </c>
      <c r="E421" s="8"/>
      <c r="F421" s="9">
        <f>F422</f>
        <v>144</v>
      </c>
      <c r="G421" s="9">
        <f>G422</f>
        <v>144</v>
      </c>
      <c r="H421" s="9">
        <f>H422</f>
        <v>144</v>
      </c>
    </row>
    <row r="422" spans="1:8" x14ac:dyDescent="0.2">
      <c r="A422" s="75" t="s">
        <v>13</v>
      </c>
      <c r="B422" s="24" t="s">
        <v>58</v>
      </c>
      <c r="C422" s="24" t="s">
        <v>56</v>
      </c>
      <c r="D422" s="24" t="s">
        <v>432</v>
      </c>
      <c r="E422" s="24" t="s">
        <v>14</v>
      </c>
      <c r="F422" s="26">
        <f>144</f>
        <v>144</v>
      </c>
      <c r="G422" s="26">
        <f>144</f>
        <v>144</v>
      </c>
      <c r="H422" s="26">
        <f>144</f>
        <v>144</v>
      </c>
    </row>
    <row r="423" spans="1:8" ht="25.5" x14ac:dyDescent="0.2">
      <c r="A423" s="10" t="s">
        <v>433</v>
      </c>
      <c r="B423" s="8" t="s">
        <v>58</v>
      </c>
      <c r="C423" s="8" t="s">
        <v>56</v>
      </c>
      <c r="D423" s="8" t="s">
        <v>105</v>
      </c>
      <c r="E423" s="8"/>
      <c r="F423" s="9">
        <f>F424+F425+F426</f>
        <v>18908</v>
      </c>
      <c r="G423" s="9">
        <f>G424+G425+G426</f>
        <v>18840</v>
      </c>
      <c r="H423" s="9">
        <f>H424+H425+H426</f>
        <v>18825</v>
      </c>
    </row>
    <row r="424" spans="1:8" ht="51" x14ac:dyDescent="0.2">
      <c r="A424" s="23" t="s">
        <v>9</v>
      </c>
      <c r="B424" s="24" t="s">
        <v>58</v>
      </c>
      <c r="C424" s="24" t="s">
        <v>56</v>
      </c>
      <c r="D424" s="24" t="s">
        <v>105</v>
      </c>
      <c r="E424" s="25" t="s">
        <v>10</v>
      </c>
      <c r="F424" s="26">
        <f>13667+4127+4.7</f>
        <v>17798.7</v>
      </c>
      <c r="G424" s="26">
        <f>13667+4127+4.7</f>
        <v>17798.7</v>
      </c>
      <c r="H424" s="26">
        <f>13667+4127+4.7</f>
        <v>17798.7</v>
      </c>
    </row>
    <row r="425" spans="1:8" ht="25.5" x14ac:dyDescent="0.2">
      <c r="A425" s="28" t="s">
        <v>20</v>
      </c>
      <c r="B425" s="24" t="s">
        <v>58</v>
      </c>
      <c r="C425" s="24" t="s">
        <v>56</v>
      </c>
      <c r="D425" s="24" t="s">
        <v>105</v>
      </c>
      <c r="E425" s="25" t="s">
        <v>12</v>
      </c>
      <c r="F425" s="26">
        <f>310.4+794.9</f>
        <v>1105.3</v>
      </c>
      <c r="G425" s="26">
        <f>310.4+726.9</f>
        <v>1037.3</v>
      </c>
      <c r="H425" s="26">
        <f>310.4+711.9</f>
        <v>1022.3</v>
      </c>
    </row>
    <row r="426" spans="1:8" x14ac:dyDescent="0.2">
      <c r="A426" s="28" t="s">
        <v>16</v>
      </c>
      <c r="B426" s="24" t="s">
        <v>58</v>
      </c>
      <c r="C426" s="24" t="s">
        <v>56</v>
      </c>
      <c r="D426" s="24" t="s">
        <v>105</v>
      </c>
      <c r="E426" s="24" t="s">
        <v>17</v>
      </c>
      <c r="F426" s="26">
        <f>4</f>
        <v>4</v>
      </c>
      <c r="G426" s="26">
        <f>4</f>
        <v>4</v>
      </c>
      <c r="H426" s="26">
        <f>4</f>
        <v>4</v>
      </c>
    </row>
    <row r="427" spans="1:8" x14ac:dyDescent="0.2">
      <c r="A427" s="10" t="s">
        <v>372</v>
      </c>
      <c r="B427" s="6" t="s">
        <v>58</v>
      </c>
      <c r="C427" s="8" t="s">
        <v>56</v>
      </c>
      <c r="D427" s="6" t="s">
        <v>373</v>
      </c>
      <c r="E427" s="8"/>
      <c r="F427" s="9">
        <f>F429+F428</f>
        <v>100</v>
      </c>
      <c r="G427" s="9">
        <f t="shared" ref="G427:H427" si="64">G429+G428</f>
        <v>100</v>
      </c>
      <c r="H427" s="9">
        <f t="shared" si="64"/>
        <v>100</v>
      </c>
    </row>
    <row r="428" spans="1:8" ht="25.5" x14ac:dyDescent="0.2">
      <c r="A428" s="23" t="s">
        <v>11</v>
      </c>
      <c r="B428" s="24" t="s">
        <v>58</v>
      </c>
      <c r="C428" s="24" t="s">
        <v>56</v>
      </c>
      <c r="D428" s="24" t="s">
        <v>373</v>
      </c>
      <c r="E428" s="24" t="s">
        <v>12</v>
      </c>
      <c r="F428" s="26">
        <v>0.5</v>
      </c>
      <c r="G428" s="26">
        <v>0.5</v>
      </c>
      <c r="H428" s="26">
        <v>0.5</v>
      </c>
    </row>
    <row r="429" spans="1:8" x14ac:dyDescent="0.2">
      <c r="A429" s="28" t="s">
        <v>13</v>
      </c>
      <c r="B429" s="24" t="s">
        <v>58</v>
      </c>
      <c r="C429" s="24" t="s">
        <v>56</v>
      </c>
      <c r="D429" s="24" t="s">
        <v>373</v>
      </c>
      <c r="E429" s="24" t="s">
        <v>14</v>
      </c>
      <c r="F429" s="26">
        <v>99.5</v>
      </c>
      <c r="G429" s="26">
        <v>99.5</v>
      </c>
      <c r="H429" s="26">
        <v>99.5</v>
      </c>
    </row>
    <row r="430" spans="1:8" ht="15.75" x14ac:dyDescent="0.25">
      <c r="A430" s="38" t="s">
        <v>57</v>
      </c>
      <c r="B430" s="36" t="s">
        <v>35</v>
      </c>
      <c r="C430" s="36" t="s">
        <v>26</v>
      </c>
      <c r="D430" s="36"/>
      <c r="E430" s="36"/>
      <c r="F430" s="37">
        <f>F431+F439+F442</f>
        <v>6803.4</v>
      </c>
      <c r="G430" s="37">
        <f>G431+G439+G442</f>
        <v>6803.4</v>
      </c>
      <c r="H430" s="37">
        <f>H431+H439+H442</f>
        <v>6803.4</v>
      </c>
    </row>
    <row r="431" spans="1:8" x14ac:dyDescent="0.2">
      <c r="A431" s="14" t="s">
        <v>65</v>
      </c>
      <c r="B431" s="11" t="s">
        <v>35</v>
      </c>
      <c r="C431" s="11" t="s">
        <v>25</v>
      </c>
      <c r="D431" s="11"/>
      <c r="E431" s="11"/>
      <c r="F431" s="12">
        <f>F434+F437+F432</f>
        <v>5682.4</v>
      </c>
      <c r="G431" s="12">
        <f t="shared" ref="G431:H431" si="65">G434+G437+G432</f>
        <v>5682.4</v>
      </c>
      <c r="H431" s="12">
        <f t="shared" si="65"/>
        <v>5682.4</v>
      </c>
    </row>
    <row r="432" spans="1:8" s="7" customFormat="1" ht="25.5" x14ac:dyDescent="0.2">
      <c r="A432" s="5" t="s">
        <v>219</v>
      </c>
      <c r="B432" s="8" t="s">
        <v>35</v>
      </c>
      <c r="C432" s="8" t="s">
        <v>25</v>
      </c>
      <c r="D432" s="8" t="s">
        <v>218</v>
      </c>
      <c r="E432" s="1"/>
      <c r="F432" s="2">
        <f>F433</f>
        <v>13</v>
      </c>
      <c r="G432" s="2">
        <f>G433</f>
        <v>13</v>
      </c>
      <c r="H432" s="2">
        <f>H433</f>
        <v>13</v>
      </c>
    </row>
    <row r="433" spans="1:8" s="27" customFormat="1" ht="25.5" x14ac:dyDescent="0.2">
      <c r="A433" s="28" t="s">
        <v>286</v>
      </c>
      <c r="B433" s="24" t="s">
        <v>35</v>
      </c>
      <c r="C433" s="24" t="s">
        <v>25</v>
      </c>
      <c r="D433" s="24" t="s">
        <v>218</v>
      </c>
      <c r="E433" s="24" t="s">
        <v>8</v>
      </c>
      <c r="F433" s="26">
        <v>13</v>
      </c>
      <c r="G433" s="26">
        <v>13</v>
      </c>
      <c r="H433" s="26">
        <v>13</v>
      </c>
    </row>
    <row r="434" spans="1:8" ht="25.5" x14ac:dyDescent="0.2">
      <c r="A434" s="10" t="s">
        <v>435</v>
      </c>
      <c r="B434" s="8" t="s">
        <v>35</v>
      </c>
      <c r="C434" s="8" t="s">
        <v>25</v>
      </c>
      <c r="D434" s="8" t="s">
        <v>434</v>
      </c>
      <c r="E434" s="8"/>
      <c r="F434" s="9">
        <f>F436+F435</f>
        <v>5469.4</v>
      </c>
      <c r="G434" s="9">
        <f>G436+G435</f>
        <v>5469.4</v>
      </c>
      <c r="H434" s="9">
        <f>H436+H435</f>
        <v>5469.4</v>
      </c>
    </row>
    <row r="435" spans="1:8" ht="25.5" x14ac:dyDescent="0.2">
      <c r="A435" s="28" t="s">
        <v>20</v>
      </c>
      <c r="B435" s="24" t="s">
        <v>35</v>
      </c>
      <c r="C435" s="24" t="s">
        <v>25</v>
      </c>
      <c r="D435" s="24" t="s">
        <v>434</v>
      </c>
      <c r="E435" s="25" t="s">
        <v>12</v>
      </c>
      <c r="F435" s="26">
        <v>35</v>
      </c>
      <c r="G435" s="26">
        <v>35</v>
      </c>
      <c r="H435" s="26">
        <v>35</v>
      </c>
    </row>
    <row r="436" spans="1:8" ht="25.5" x14ac:dyDescent="0.2">
      <c r="A436" s="28" t="s">
        <v>286</v>
      </c>
      <c r="B436" s="24" t="s">
        <v>35</v>
      </c>
      <c r="C436" s="24" t="s">
        <v>25</v>
      </c>
      <c r="D436" s="24" t="s">
        <v>434</v>
      </c>
      <c r="E436" s="24" t="s">
        <v>8</v>
      </c>
      <c r="F436" s="26">
        <v>5434.4</v>
      </c>
      <c r="G436" s="26">
        <v>5434.4</v>
      </c>
      <c r="H436" s="26">
        <v>5434.4</v>
      </c>
    </row>
    <row r="437" spans="1:8" ht="38.25" x14ac:dyDescent="0.2">
      <c r="A437" s="10" t="s">
        <v>439</v>
      </c>
      <c r="B437" s="8" t="s">
        <v>35</v>
      </c>
      <c r="C437" s="8" t="s">
        <v>25</v>
      </c>
      <c r="D437" s="8" t="s">
        <v>438</v>
      </c>
      <c r="E437" s="8"/>
      <c r="F437" s="9">
        <f>F438</f>
        <v>200</v>
      </c>
      <c r="G437" s="9">
        <f>G438</f>
        <v>200</v>
      </c>
      <c r="H437" s="9">
        <f>H438</f>
        <v>200</v>
      </c>
    </row>
    <row r="438" spans="1:8" ht="25.5" x14ac:dyDescent="0.2">
      <c r="A438" s="28" t="s">
        <v>20</v>
      </c>
      <c r="B438" s="24" t="s">
        <v>35</v>
      </c>
      <c r="C438" s="24" t="s">
        <v>25</v>
      </c>
      <c r="D438" s="24" t="s">
        <v>438</v>
      </c>
      <c r="E438" s="25" t="s">
        <v>12</v>
      </c>
      <c r="F438" s="26">
        <v>200</v>
      </c>
      <c r="G438" s="26">
        <v>200</v>
      </c>
      <c r="H438" s="26">
        <v>200</v>
      </c>
    </row>
    <row r="439" spans="1:8" x14ac:dyDescent="0.2">
      <c r="A439" s="14" t="s">
        <v>66</v>
      </c>
      <c r="B439" s="11" t="s">
        <v>35</v>
      </c>
      <c r="C439" s="11" t="s">
        <v>28</v>
      </c>
      <c r="D439" s="11"/>
      <c r="E439" s="11"/>
      <c r="F439" s="12">
        <f t="shared" ref="F439:H440" si="66">F440</f>
        <v>460</v>
      </c>
      <c r="G439" s="12">
        <f t="shared" si="66"/>
        <v>460</v>
      </c>
      <c r="H439" s="12">
        <f t="shared" si="66"/>
        <v>460</v>
      </c>
    </row>
    <row r="440" spans="1:8" ht="25.5" x14ac:dyDescent="0.2">
      <c r="A440" s="10" t="s">
        <v>452</v>
      </c>
      <c r="B440" s="8" t="s">
        <v>35</v>
      </c>
      <c r="C440" s="8" t="s">
        <v>28</v>
      </c>
      <c r="D440" s="8" t="s">
        <v>453</v>
      </c>
      <c r="E440" s="8"/>
      <c r="F440" s="9">
        <f t="shared" si="66"/>
        <v>460</v>
      </c>
      <c r="G440" s="9">
        <f t="shared" si="66"/>
        <v>460</v>
      </c>
      <c r="H440" s="9">
        <f t="shared" si="66"/>
        <v>460</v>
      </c>
    </row>
    <row r="441" spans="1:8" ht="25.5" x14ac:dyDescent="0.2">
      <c r="A441" s="28" t="s">
        <v>20</v>
      </c>
      <c r="B441" s="24" t="s">
        <v>35</v>
      </c>
      <c r="C441" s="24" t="s">
        <v>28</v>
      </c>
      <c r="D441" s="24" t="s">
        <v>453</v>
      </c>
      <c r="E441" s="25" t="s">
        <v>12</v>
      </c>
      <c r="F441" s="26">
        <v>460</v>
      </c>
      <c r="G441" s="26">
        <v>460</v>
      </c>
      <c r="H441" s="26">
        <v>460</v>
      </c>
    </row>
    <row r="442" spans="1:8" x14ac:dyDescent="0.2">
      <c r="A442" s="14" t="s">
        <v>6</v>
      </c>
      <c r="B442" s="11" t="s">
        <v>35</v>
      </c>
      <c r="C442" s="11" t="s">
        <v>44</v>
      </c>
      <c r="D442" s="11"/>
      <c r="E442" s="11"/>
      <c r="F442" s="12">
        <f>F443</f>
        <v>661</v>
      </c>
      <c r="G442" s="12">
        <f>G443</f>
        <v>661</v>
      </c>
      <c r="H442" s="12">
        <f>H443</f>
        <v>661</v>
      </c>
    </row>
    <row r="443" spans="1:8" ht="25.5" x14ac:dyDescent="0.2">
      <c r="A443" s="10" t="s">
        <v>441</v>
      </c>
      <c r="B443" s="8" t="s">
        <v>35</v>
      </c>
      <c r="C443" s="8" t="s">
        <v>44</v>
      </c>
      <c r="D443" s="8" t="s">
        <v>440</v>
      </c>
      <c r="E443" s="8"/>
      <c r="F443" s="9">
        <f>F444+F445</f>
        <v>661</v>
      </c>
      <c r="G443" s="9">
        <f>G444+G445</f>
        <v>661</v>
      </c>
      <c r="H443" s="9">
        <f>H444+H445</f>
        <v>661</v>
      </c>
    </row>
    <row r="444" spans="1:8" ht="51" x14ac:dyDescent="0.2">
      <c r="A444" s="23" t="s">
        <v>9</v>
      </c>
      <c r="B444" s="24" t="s">
        <v>35</v>
      </c>
      <c r="C444" s="24" t="s">
        <v>44</v>
      </c>
      <c r="D444" s="24" t="s">
        <v>440</v>
      </c>
      <c r="E444" s="25" t="s">
        <v>10</v>
      </c>
      <c r="F444" s="26">
        <v>609</v>
      </c>
      <c r="G444" s="26">
        <v>609</v>
      </c>
      <c r="H444" s="26">
        <v>609</v>
      </c>
    </row>
    <row r="445" spans="1:8" ht="25.5" x14ac:dyDescent="0.2">
      <c r="A445" s="28" t="s">
        <v>20</v>
      </c>
      <c r="B445" s="24" t="s">
        <v>35</v>
      </c>
      <c r="C445" s="24" t="s">
        <v>44</v>
      </c>
      <c r="D445" s="24" t="s">
        <v>440</v>
      </c>
      <c r="E445" s="25" t="s">
        <v>12</v>
      </c>
      <c r="F445" s="26">
        <v>52</v>
      </c>
      <c r="G445" s="26">
        <v>52</v>
      </c>
      <c r="H445" s="26">
        <v>52</v>
      </c>
    </row>
    <row r="446" spans="1:8" ht="31.5" x14ac:dyDescent="0.25">
      <c r="A446" s="38" t="s">
        <v>34</v>
      </c>
      <c r="B446" s="36" t="s">
        <v>67</v>
      </c>
      <c r="C446" s="36" t="s">
        <v>26</v>
      </c>
      <c r="D446" s="36"/>
      <c r="E446" s="36"/>
      <c r="F446" s="37">
        <f>F447</f>
        <v>816.7</v>
      </c>
      <c r="G446" s="37">
        <f t="shared" ref="G446:H448" si="67">G447</f>
        <v>816.7</v>
      </c>
      <c r="H446" s="37">
        <f t="shared" si="67"/>
        <v>816.7</v>
      </c>
    </row>
    <row r="447" spans="1:8" ht="25.5" x14ac:dyDescent="0.2">
      <c r="A447" s="14" t="s">
        <v>68</v>
      </c>
      <c r="B447" s="11" t="s">
        <v>67</v>
      </c>
      <c r="C447" s="11" t="s">
        <v>25</v>
      </c>
      <c r="D447" s="11"/>
      <c r="E447" s="11"/>
      <c r="F447" s="12">
        <f>F448</f>
        <v>816.7</v>
      </c>
      <c r="G447" s="12">
        <f t="shared" si="67"/>
        <v>816.7</v>
      </c>
      <c r="H447" s="12">
        <f t="shared" si="67"/>
        <v>816.7</v>
      </c>
    </row>
    <row r="448" spans="1:8" ht="25.5" x14ac:dyDescent="0.2">
      <c r="A448" s="10" t="s">
        <v>443</v>
      </c>
      <c r="B448" s="8" t="s">
        <v>67</v>
      </c>
      <c r="C448" s="8" t="s">
        <v>25</v>
      </c>
      <c r="D448" s="8" t="s">
        <v>442</v>
      </c>
      <c r="E448" s="8"/>
      <c r="F448" s="9">
        <f>F449</f>
        <v>816.7</v>
      </c>
      <c r="G448" s="9">
        <f t="shared" si="67"/>
        <v>816.7</v>
      </c>
      <c r="H448" s="9">
        <f t="shared" si="67"/>
        <v>816.7</v>
      </c>
    </row>
    <row r="449" spans="1:10" x14ac:dyDescent="0.2">
      <c r="A449" s="28" t="s">
        <v>19</v>
      </c>
      <c r="B449" s="24" t="s">
        <v>67</v>
      </c>
      <c r="C449" s="24" t="s">
        <v>25</v>
      </c>
      <c r="D449" s="24" t="s">
        <v>442</v>
      </c>
      <c r="E449" s="24" t="s">
        <v>18</v>
      </c>
      <c r="F449" s="26">
        <v>816.7</v>
      </c>
      <c r="G449" s="26">
        <v>816.7</v>
      </c>
      <c r="H449" s="26">
        <v>816.7</v>
      </c>
    </row>
    <row r="450" spans="1:10" x14ac:dyDescent="0.2">
      <c r="A450" s="10" t="s">
        <v>445</v>
      </c>
      <c r="B450" s="8" t="s">
        <v>446</v>
      </c>
      <c r="C450" s="8"/>
      <c r="D450" s="8"/>
      <c r="E450" s="8"/>
      <c r="F450" s="9"/>
      <c r="G450" s="9">
        <f t="shared" ref="G450:H452" si="68">G451</f>
        <v>18452.699999999997</v>
      </c>
      <c r="H450" s="9">
        <f t="shared" si="68"/>
        <v>38534.5</v>
      </c>
      <c r="I450" s="51"/>
      <c r="J450" s="51"/>
    </row>
    <row r="451" spans="1:10" x14ac:dyDescent="0.2">
      <c r="A451" s="10" t="s">
        <v>445</v>
      </c>
      <c r="B451" s="8" t="s">
        <v>446</v>
      </c>
      <c r="C451" s="6" t="s">
        <v>446</v>
      </c>
      <c r="D451" s="8"/>
      <c r="E451" s="8"/>
      <c r="F451" s="9"/>
      <c r="G451" s="9">
        <f t="shared" si="68"/>
        <v>18452.699999999997</v>
      </c>
      <c r="H451" s="9">
        <f t="shared" si="68"/>
        <v>38534.5</v>
      </c>
      <c r="I451" s="51"/>
      <c r="J451" s="51"/>
    </row>
    <row r="452" spans="1:10" x14ac:dyDescent="0.2">
      <c r="A452" s="10" t="s">
        <v>445</v>
      </c>
      <c r="B452" s="8" t="s">
        <v>446</v>
      </c>
      <c r="C452" s="8" t="s">
        <v>446</v>
      </c>
      <c r="D452" s="8" t="s">
        <v>454</v>
      </c>
      <c r="E452" s="8"/>
      <c r="F452" s="9"/>
      <c r="G452" s="9">
        <f t="shared" si="68"/>
        <v>18452.699999999997</v>
      </c>
      <c r="H452" s="9">
        <f t="shared" si="68"/>
        <v>38534.5</v>
      </c>
      <c r="I452" s="51"/>
      <c r="J452" s="51"/>
    </row>
    <row r="453" spans="1:10" x14ac:dyDescent="0.2">
      <c r="A453" s="10" t="s">
        <v>16</v>
      </c>
      <c r="B453" s="8" t="s">
        <v>446</v>
      </c>
      <c r="C453" s="8" t="s">
        <v>446</v>
      </c>
      <c r="D453" s="24" t="s">
        <v>454</v>
      </c>
      <c r="E453" s="24" t="s">
        <v>17</v>
      </c>
      <c r="F453" s="26"/>
      <c r="G453" s="26">
        <f>18452.6+0.1</f>
        <v>18452.699999999997</v>
      </c>
      <c r="H453" s="26">
        <f>38534.4+0.1</f>
        <v>38534.5</v>
      </c>
      <c r="I453" s="51"/>
      <c r="J453" s="51"/>
    </row>
    <row r="454" spans="1:10" ht="15.75" x14ac:dyDescent="0.25">
      <c r="A454" s="38" t="s">
        <v>1</v>
      </c>
      <c r="B454" s="36"/>
      <c r="C454" s="36"/>
      <c r="D454" s="36"/>
      <c r="E454" s="36"/>
      <c r="F454" s="37">
        <f>F446+F430+F281+F262+F179+F121+F99+F85+F9+F450</f>
        <v>2414660.7999999998</v>
      </c>
      <c r="G454" s="37">
        <f>G446+G430+G281+G262+G179+G121+G99+G85+G9+G450</f>
        <v>2160059.9000000004</v>
      </c>
      <c r="H454" s="37">
        <f>H446+H430+H281+H262+H179+H121+H99+H85+H9+H450</f>
        <v>2242476.0000000005</v>
      </c>
      <c r="I454" s="57"/>
    </row>
    <row r="455" spans="1:10" ht="16.5" thickBot="1" x14ac:dyDescent="0.25">
      <c r="A455" s="39" t="s">
        <v>2</v>
      </c>
      <c r="B455" s="40"/>
      <c r="C455" s="40"/>
      <c r="D455" s="40"/>
      <c r="E455" s="40"/>
      <c r="F455" s="44">
        <f>38545.7+0.1</f>
        <v>38545.799999999996</v>
      </c>
      <c r="G455" s="44">
        <f>40618.6+0.1-4061.9</f>
        <v>36556.799999999996</v>
      </c>
      <c r="H455" s="44">
        <f>42667+0.1-8533.4</f>
        <v>34133.699999999997</v>
      </c>
    </row>
    <row r="456" spans="1:10" x14ac:dyDescent="0.2">
      <c r="A456" s="31"/>
      <c r="B456" s="32"/>
      <c r="C456" s="32"/>
      <c r="D456" s="32"/>
      <c r="E456" s="32"/>
    </row>
    <row r="457" spans="1:10" x14ac:dyDescent="0.2">
      <c r="A457" s="31"/>
      <c r="B457" s="32"/>
      <c r="C457" s="32"/>
      <c r="D457" s="32"/>
      <c r="E457" s="32"/>
      <c r="F457" s="53"/>
      <c r="G457" s="53"/>
      <c r="H457" s="53"/>
    </row>
    <row r="458" spans="1:10" ht="23.25" customHeight="1" x14ac:dyDescent="0.2">
      <c r="A458" s="41" t="s">
        <v>72</v>
      </c>
      <c r="F458" s="53"/>
      <c r="G458" s="53"/>
      <c r="H458" s="53" t="s">
        <v>87</v>
      </c>
    </row>
    <row r="463" spans="1:10" x14ac:dyDescent="0.2">
      <c r="F463" s="53"/>
      <c r="G463" s="53"/>
      <c r="H463" s="53"/>
    </row>
    <row r="464" spans="1:10" x14ac:dyDescent="0.2">
      <c r="F464" s="53"/>
      <c r="G464" s="53"/>
      <c r="H464" s="53"/>
    </row>
    <row r="465" spans="2:8" x14ac:dyDescent="0.2">
      <c r="F465" s="53"/>
      <c r="G465" s="53"/>
      <c r="H465" s="53"/>
    </row>
    <row r="467" spans="2:8" x14ac:dyDescent="0.2">
      <c r="F467" s="53"/>
      <c r="G467" s="53"/>
      <c r="H467" s="53"/>
    </row>
    <row r="472" spans="2:8" x14ac:dyDescent="0.2">
      <c r="B472" s="13"/>
      <c r="C472" s="13"/>
      <c r="D472" s="13"/>
      <c r="E472" s="13"/>
      <c r="F472" s="13"/>
      <c r="G472" s="13"/>
      <c r="H472" s="13"/>
    </row>
    <row r="473" spans="2:8" x14ac:dyDescent="0.2">
      <c r="B473" s="13"/>
      <c r="C473" s="13"/>
      <c r="D473" s="13"/>
      <c r="E473" s="13"/>
      <c r="F473" s="13"/>
      <c r="G473" s="13"/>
      <c r="H473" s="13"/>
    </row>
    <row r="474" spans="2:8" x14ac:dyDescent="0.2">
      <c r="B474" s="13"/>
      <c r="C474" s="13"/>
      <c r="D474" s="13"/>
      <c r="E474" s="13"/>
      <c r="F474" s="13"/>
      <c r="G474" s="13"/>
      <c r="H474" s="13"/>
    </row>
    <row r="475" spans="2:8" x14ac:dyDescent="0.2">
      <c r="B475" s="13"/>
      <c r="C475" s="13"/>
      <c r="D475" s="13"/>
      <c r="E475" s="13"/>
      <c r="F475" s="13"/>
      <c r="G475" s="13"/>
      <c r="H475" s="13"/>
    </row>
    <row r="476" spans="2:8" x14ac:dyDescent="0.2">
      <c r="B476" s="13"/>
      <c r="C476" s="13"/>
      <c r="D476" s="13"/>
      <c r="E476" s="13"/>
      <c r="F476" s="13"/>
      <c r="G476" s="13"/>
      <c r="H476" s="13"/>
    </row>
    <row r="477" spans="2:8" x14ac:dyDescent="0.2">
      <c r="B477" s="13"/>
      <c r="C477" s="13"/>
      <c r="D477" s="13"/>
      <c r="E477" s="13"/>
      <c r="F477" s="13"/>
      <c r="G477" s="13"/>
      <c r="H477" s="13"/>
    </row>
    <row r="478" spans="2:8" x14ac:dyDescent="0.2">
      <c r="B478" s="13"/>
      <c r="C478" s="13"/>
      <c r="D478" s="13"/>
      <c r="E478" s="13"/>
      <c r="F478" s="13"/>
      <c r="G478" s="13"/>
      <c r="H478" s="13"/>
    </row>
    <row r="479" spans="2:8" x14ac:dyDescent="0.2">
      <c r="B479" s="13"/>
      <c r="C479" s="13"/>
      <c r="D479" s="13"/>
      <c r="E479" s="13"/>
      <c r="F479" s="13"/>
      <c r="G479" s="13"/>
      <c r="H479" s="13"/>
    </row>
    <row r="480" spans="2:8" x14ac:dyDescent="0.2">
      <c r="B480" s="13"/>
      <c r="C480" s="13"/>
      <c r="D480" s="13"/>
      <c r="E480" s="13"/>
      <c r="F480" s="13"/>
      <c r="G480" s="13"/>
      <c r="H480" s="13"/>
    </row>
    <row r="481" spans="2:8" x14ac:dyDescent="0.2">
      <c r="B481" s="13"/>
      <c r="C481" s="13"/>
      <c r="D481" s="13"/>
      <c r="E481" s="13"/>
      <c r="F481" s="13"/>
      <c r="G481" s="13"/>
      <c r="H481" s="13"/>
    </row>
    <row r="482" spans="2:8" x14ac:dyDescent="0.2">
      <c r="B482" s="13"/>
      <c r="C482" s="13"/>
      <c r="D482" s="13"/>
      <c r="E482" s="13"/>
      <c r="F482" s="13"/>
      <c r="G482" s="13"/>
      <c r="H482" s="13"/>
    </row>
    <row r="483" spans="2:8" x14ac:dyDescent="0.2">
      <c r="B483" s="13"/>
      <c r="C483" s="13"/>
      <c r="D483" s="13"/>
      <c r="E483" s="13"/>
      <c r="F483" s="13"/>
      <c r="G483" s="13"/>
      <c r="H483" s="13"/>
    </row>
    <row r="484" spans="2:8" x14ac:dyDescent="0.2">
      <c r="B484" s="13"/>
      <c r="C484" s="13"/>
      <c r="D484" s="13"/>
      <c r="E484" s="13"/>
      <c r="F484" s="13"/>
      <c r="G484" s="13"/>
      <c r="H484" s="13"/>
    </row>
    <row r="485" spans="2:8" x14ac:dyDescent="0.2">
      <c r="B485" s="13"/>
      <c r="C485" s="13"/>
      <c r="D485" s="13"/>
      <c r="E485" s="13"/>
      <c r="F485" s="13"/>
      <c r="G485" s="13"/>
      <c r="H485" s="13"/>
    </row>
    <row r="486" spans="2:8" x14ac:dyDescent="0.2">
      <c r="B486" s="13"/>
      <c r="C486" s="13"/>
      <c r="D486" s="13"/>
      <c r="E486" s="13"/>
      <c r="F486" s="13"/>
      <c r="G486" s="13"/>
      <c r="H486" s="13"/>
    </row>
    <row r="487" spans="2:8" x14ac:dyDescent="0.2">
      <c r="B487" s="13"/>
      <c r="C487" s="13"/>
      <c r="D487" s="13"/>
      <c r="E487" s="13"/>
      <c r="F487" s="13"/>
      <c r="G487" s="13"/>
      <c r="H487" s="13"/>
    </row>
    <row r="488" spans="2:8" x14ac:dyDescent="0.2">
      <c r="B488" s="13"/>
      <c r="C488" s="13"/>
      <c r="D488" s="13"/>
      <c r="E488" s="13"/>
      <c r="F488" s="13"/>
      <c r="G488" s="13"/>
      <c r="H488" s="13"/>
    </row>
    <row r="489" spans="2:8" x14ac:dyDescent="0.2">
      <c r="B489" s="13"/>
      <c r="C489" s="13"/>
      <c r="D489" s="13"/>
      <c r="E489" s="13"/>
      <c r="F489" s="13"/>
      <c r="G489" s="13"/>
      <c r="H489" s="13"/>
    </row>
    <row r="490" spans="2:8" x14ac:dyDescent="0.2">
      <c r="B490" s="13"/>
      <c r="C490" s="13"/>
      <c r="D490" s="13"/>
      <c r="E490" s="13"/>
      <c r="F490" s="13"/>
      <c r="G490" s="13"/>
      <c r="H490" s="13"/>
    </row>
    <row r="491" spans="2:8" x14ac:dyDescent="0.2">
      <c r="B491" s="13"/>
      <c r="C491" s="13"/>
      <c r="D491" s="13"/>
      <c r="E491" s="13"/>
      <c r="F491" s="13"/>
      <c r="G491" s="13"/>
      <c r="H491" s="13"/>
    </row>
    <row r="492" spans="2:8" x14ac:dyDescent="0.2">
      <c r="B492" s="13"/>
      <c r="C492" s="13"/>
      <c r="D492" s="13"/>
      <c r="E492" s="13"/>
      <c r="F492" s="13"/>
      <c r="G492" s="13"/>
      <c r="H492" s="13"/>
    </row>
    <row r="493" spans="2:8" x14ac:dyDescent="0.2">
      <c r="B493" s="13"/>
      <c r="C493" s="13"/>
      <c r="D493" s="13"/>
      <c r="E493" s="13"/>
      <c r="F493" s="13"/>
      <c r="G493" s="13"/>
      <c r="H493" s="13"/>
    </row>
    <row r="494" spans="2:8" x14ac:dyDescent="0.2">
      <c r="B494" s="13"/>
      <c r="C494" s="13"/>
      <c r="D494" s="13"/>
      <c r="E494" s="13"/>
      <c r="F494" s="13"/>
      <c r="G494" s="13"/>
      <c r="H494" s="13"/>
    </row>
    <row r="495" spans="2:8" x14ac:dyDescent="0.2">
      <c r="B495" s="13"/>
      <c r="C495" s="13"/>
      <c r="D495" s="13"/>
      <c r="E495" s="13"/>
      <c r="F495" s="13"/>
      <c r="G495" s="13"/>
      <c r="H495" s="13"/>
    </row>
    <row r="496" spans="2:8" x14ac:dyDescent="0.2">
      <c r="B496" s="13"/>
      <c r="C496" s="13"/>
      <c r="D496" s="13"/>
      <c r="E496" s="13"/>
      <c r="F496" s="13"/>
      <c r="G496" s="13"/>
      <c r="H496" s="13"/>
    </row>
    <row r="497" spans="2:8" x14ac:dyDescent="0.2">
      <c r="B497" s="13"/>
      <c r="C497" s="13"/>
      <c r="D497" s="13"/>
      <c r="E497" s="13"/>
      <c r="F497" s="13"/>
      <c r="G497" s="13"/>
      <c r="H497" s="13"/>
    </row>
    <row r="498" spans="2:8" x14ac:dyDescent="0.2">
      <c r="B498" s="13"/>
      <c r="C498" s="13"/>
      <c r="D498" s="13"/>
      <c r="E498" s="13"/>
      <c r="F498" s="13"/>
      <c r="G498" s="13"/>
      <c r="H498" s="13"/>
    </row>
    <row r="499" spans="2:8" x14ac:dyDescent="0.2">
      <c r="B499" s="13"/>
      <c r="C499" s="13"/>
      <c r="D499" s="13"/>
      <c r="E499" s="13"/>
      <c r="F499" s="13"/>
      <c r="G499" s="13"/>
      <c r="H499" s="13"/>
    </row>
    <row r="500" spans="2:8" x14ac:dyDescent="0.2">
      <c r="B500" s="13"/>
      <c r="C500" s="13"/>
      <c r="D500" s="13"/>
      <c r="E500" s="13"/>
      <c r="F500" s="13"/>
      <c r="G500" s="13"/>
      <c r="H500" s="13"/>
    </row>
    <row r="501" spans="2:8" x14ac:dyDescent="0.2">
      <c r="B501" s="13"/>
      <c r="C501" s="13"/>
      <c r="D501" s="13"/>
      <c r="E501" s="13"/>
      <c r="F501" s="13"/>
      <c r="G501" s="13"/>
      <c r="H501" s="13"/>
    </row>
    <row r="502" spans="2:8" x14ac:dyDescent="0.2">
      <c r="B502" s="13"/>
      <c r="C502" s="13"/>
      <c r="D502" s="13"/>
      <c r="E502" s="13"/>
      <c r="F502" s="13"/>
      <c r="G502" s="13"/>
      <c r="H502" s="13"/>
    </row>
    <row r="503" spans="2:8" x14ac:dyDescent="0.2">
      <c r="B503" s="13"/>
      <c r="C503" s="13"/>
      <c r="D503" s="13"/>
      <c r="E503" s="13"/>
      <c r="F503" s="13"/>
      <c r="G503" s="13"/>
      <c r="H503" s="13"/>
    </row>
    <row r="504" spans="2:8" x14ac:dyDescent="0.2">
      <c r="B504" s="13"/>
      <c r="C504" s="13"/>
      <c r="D504" s="13"/>
      <c r="E504" s="13"/>
      <c r="F504" s="13"/>
      <c r="G504" s="13"/>
      <c r="H504" s="13"/>
    </row>
    <row r="505" spans="2:8" x14ac:dyDescent="0.2">
      <c r="B505" s="13"/>
      <c r="C505" s="13"/>
      <c r="D505" s="13"/>
      <c r="E505" s="13"/>
      <c r="F505" s="13"/>
      <c r="G505" s="13"/>
      <c r="H505" s="13"/>
    </row>
    <row r="506" spans="2:8" x14ac:dyDescent="0.2">
      <c r="B506" s="13"/>
      <c r="C506" s="13"/>
      <c r="D506" s="13"/>
      <c r="E506" s="13"/>
      <c r="F506" s="13"/>
      <c r="G506" s="13"/>
      <c r="H506" s="13"/>
    </row>
    <row r="507" spans="2:8" x14ac:dyDescent="0.2">
      <c r="B507" s="13"/>
      <c r="C507" s="13"/>
      <c r="D507" s="13"/>
      <c r="E507" s="13"/>
      <c r="F507" s="13"/>
      <c r="G507" s="13"/>
      <c r="H507" s="13"/>
    </row>
    <row r="508" spans="2:8" x14ac:dyDescent="0.2">
      <c r="B508" s="13"/>
      <c r="C508" s="13"/>
      <c r="D508" s="13"/>
      <c r="E508" s="13"/>
      <c r="F508" s="13"/>
      <c r="G508" s="13"/>
      <c r="H508" s="13"/>
    </row>
    <row r="509" spans="2:8" x14ac:dyDescent="0.2">
      <c r="B509" s="13"/>
      <c r="C509" s="13"/>
      <c r="D509" s="13"/>
      <c r="E509" s="13"/>
      <c r="F509" s="13"/>
      <c r="G509" s="13"/>
      <c r="H509" s="13"/>
    </row>
    <row r="510" spans="2:8" x14ac:dyDescent="0.2">
      <c r="B510" s="13"/>
      <c r="C510" s="13"/>
      <c r="D510" s="13"/>
      <c r="E510" s="13"/>
      <c r="F510" s="13"/>
      <c r="G510" s="13"/>
      <c r="H510" s="13"/>
    </row>
    <row r="511" spans="2:8" x14ac:dyDescent="0.2">
      <c r="B511" s="13"/>
      <c r="C511" s="13"/>
      <c r="D511" s="13"/>
      <c r="E511" s="13"/>
      <c r="F511" s="13"/>
      <c r="G511" s="13"/>
      <c r="H511" s="13"/>
    </row>
    <row r="512" spans="2:8" x14ac:dyDescent="0.2">
      <c r="B512" s="13"/>
      <c r="C512" s="13"/>
      <c r="D512" s="13"/>
      <c r="E512" s="13"/>
      <c r="F512" s="13"/>
      <c r="G512" s="13"/>
      <c r="H512" s="13"/>
    </row>
    <row r="513" spans="2:8" x14ac:dyDescent="0.2">
      <c r="B513" s="13"/>
      <c r="C513" s="13"/>
      <c r="D513" s="13"/>
      <c r="E513" s="13"/>
      <c r="F513" s="13"/>
      <c r="G513" s="13"/>
      <c r="H513" s="13"/>
    </row>
    <row r="514" spans="2:8" x14ac:dyDescent="0.2">
      <c r="B514" s="13"/>
      <c r="C514" s="13"/>
      <c r="D514" s="13"/>
      <c r="E514" s="13"/>
      <c r="F514" s="13"/>
      <c r="G514" s="13"/>
      <c r="H514" s="13"/>
    </row>
    <row r="515" spans="2:8" x14ac:dyDescent="0.2">
      <c r="B515" s="13"/>
      <c r="C515" s="13"/>
      <c r="D515" s="13"/>
      <c r="E515" s="13"/>
      <c r="F515" s="13"/>
      <c r="G515" s="13"/>
      <c r="H515" s="13"/>
    </row>
    <row r="516" spans="2:8" x14ac:dyDescent="0.2">
      <c r="B516" s="13"/>
      <c r="C516" s="13"/>
      <c r="D516" s="13"/>
      <c r="E516" s="13"/>
      <c r="F516" s="13"/>
      <c r="G516" s="13"/>
      <c r="H516" s="13"/>
    </row>
    <row r="517" spans="2:8" x14ac:dyDescent="0.2">
      <c r="B517" s="13"/>
      <c r="C517" s="13"/>
      <c r="D517" s="13"/>
      <c r="E517" s="13"/>
      <c r="F517" s="13"/>
      <c r="G517" s="13"/>
      <c r="H517" s="13"/>
    </row>
    <row r="518" spans="2:8" x14ac:dyDescent="0.2">
      <c r="B518" s="13"/>
      <c r="C518" s="13"/>
      <c r="D518" s="13"/>
      <c r="E518" s="13"/>
      <c r="F518" s="13"/>
      <c r="G518" s="13"/>
      <c r="H518" s="13"/>
    </row>
    <row r="519" spans="2:8" x14ac:dyDescent="0.2">
      <c r="B519" s="13"/>
      <c r="C519" s="13"/>
      <c r="D519" s="13"/>
      <c r="E519" s="13"/>
      <c r="F519" s="13"/>
      <c r="G519" s="13"/>
      <c r="H519" s="13"/>
    </row>
    <row r="520" spans="2:8" x14ac:dyDescent="0.2">
      <c r="B520" s="13"/>
      <c r="C520" s="13"/>
      <c r="D520" s="13"/>
      <c r="E520" s="13"/>
      <c r="F520" s="13"/>
      <c r="G520" s="13"/>
      <c r="H520" s="13"/>
    </row>
    <row r="521" spans="2:8" x14ac:dyDescent="0.2">
      <c r="B521" s="13"/>
      <c r="C521" s="13"/>
      <c r="D521" s="13"/>
      <c r="E521" s="13"/>
      <c r="F521" s="13"/>
      <c r="G521" s="13"/>
      <c r="H521" s="13"/>
    </row>
    <row r="522" spans="2:8" x14ac:dyDescent="0.2">
      <c r="B522" s="13"/>
      <c r="C522" s="13"/>
      <c r="D522" s="13"/>
      <c r="E522" s="13"/>
      <c r="F522" s="13"/>
      <c r="G522" s="13"/>
      <c r="H522" s="13"/>
    </row>
    <row r="523" spans="2:8" x14ac:dyDescent="0.2">
      <c r="B523" s="13"/>
      <c r="C523" s="13"/>
      <c r="D523" s="13"/>
      <c r="E523" s="13"/>
      <c r="F523" s="13"/>
      <c r="G523" s="13"/>
      <c r="H523" s="13"/>
    </row>
    <row r="524" spans="2:8" x14ac:dyDescent="0.2">
      <c r="B524" s="13"/>
      <c r="C524" s="13"/>
      <c r="D524" s="13"/>
      <c r="E524" s="13"/>
      <c r="F524" s="13"/>
      <c r="G524" s="13"/>
      <c r="H524" s="13"/>
    </row>
    <row r="525" spans="2:8" x14ac:dyDescent="0.2">
      <c r="B525" s="13"/>
      <c r="C525" s="13"/>
      <c r="D525" s="13"/>
      <c r="E525" s="13"/>
      <c r="F525" s="13"/>
      <c r="G525" s="13"/>
      <c r="H525" s="13"/>
    </row>
    <row r="526" spans="2:8" x14ac:dyDescent="0.2">
      <c r="B526" s="13"/>
      <c r="C526" s="13"/>
      <c r="D526" s="13"/>
      <c r="E526" s="13"/>
      <c r="F526" s="13"/>
      <c r="G526" s="13"/>
      <c r="H526" s="13"/>
    </row>
    <row r="527" spans="2:8" x14ac:dyDescent="0.2">
      <c r="B527" s="13"/>
      <c r="C527" s="13"/>
      <c r="D527" s="13"/>
      <c r="E527" s="13"/>
      <c r="F527" s="13"/>
      <c r="G527" s="13"/>
      <c r="H527" s="13"/>
    </row>
    <row r="528" spans="2:8" x14ac:dyDescent="0.2">
      <c r="B528" s="13"/>
      <c r="C528" s="13"/>
      <c r="D528" s="13"/>
      <c r="E528" s="13"/>
      <c r="F528" s="13"/>
      <c r="G528" s="13"/>
      <c r="H528" s="13"/>
    </row>
    <row r="529" spans="2:8" x14ac:dyDescent="0.2">
      <c r="B529" s="13"/>
      <c r="C529" s="13"/>
      <c r="D529" s="13"/>
      <c r="E529" s="13"/>
      <c r="F529" s="13"/>
      <c r="G529" s="13"/>
      <c r="H529" s="13"/>
    </row>
    <row r="530" spans="2:8" x14ac:dyDescent="0.2">
      <c r="B530" s="13"/>
      <c r="C530" s="13"/>
      <c r="D530" s="13"/>
      <c r="E530" s="13"/>
      <c r="F530" s="13"/>
      <c r="G530" s="13"/>
      <c r="H530" s="13"/>
    </row>
    <row r="531" spans="2:8" x14ac:dyDescent="0.2">
      <c r="B531" s="13"/>
      <c r="C531" s="13"/>
      <c r="D531" s="13"/>
      <c r="E531" s="13"/>
      <c r="F531" s="13"/>
      <c r="G531" s="13"/>
      <c r="H531" s="13"/>
    </row>
    <row r="532" spans="2:8" x14ac:dyDescent="0.2">
      <c r="B532" s="13"/>
      <c r="C532" s="13"/>
      <c r="D532" s="13"/>
      <c r="E532" s="13"/>
      <c r="F532" s="13"/>
      <c r="G532" s="13"/>
      <c r="H532" s="13"/>
    </row>
    <row r="533" spans="2:8" x14ac:dyDescent="0.2">
      <c r="B533" s="13"/>
      <c r="C533" s="13"/>
      <c r="D533" s="13"/>
      <c r="E533" s="13"/>
      <c r="F533" s="13"/>
      <c r="G533" s="13"/>
      <c r="H533" s="13"/>
    </row>
    <row r="534" spans="2:8" x14ac:dyDescent="0.2">
      <c r="B534" s="13"/>
      <c r="C534" s="13"/>
      <c r="D534" s="13"/>
      <c r="E534" s="13"/>
      <c r="F534" s="13"/>
      <c r="G534" s="13"/>
      <c r="H534" s="13"/>
    </row>
    <row r="535" spans="2:8" x14ac:dyDescent="0.2">
      <c r="B535" s="13"/>
      <c r="C535" s="13"/>
      <c r="D535" s="13"/>
      <c r="E535" s="13"/>
      <c r="F535" s="13"/>
      <c r="G535" s="13"/>
      <c r="H535" s="13"/>
    </row>
    <row r="536" spans="2:8" x14ac:dyDescent="0.2">
      <c r="B536" s="13"/>
      <c r="C536" s="13"/>
      <c r="D536" s="13"/>
      <c r="E536" s="13"/>
      <c r="F536" s="13"/>
      <c r="G536" s="13"/>
      <c r="H536" s="13"/>
    </row>
    <row r="537" spans="2:8" x14ac:dyDescent="0.2">
      <c r="B537" s="13"/>
      <c r="C537" s="13"/>
      <c r="D537" s="13"/>
      <c r="E537" s="13"/>
      <c r="F537" s="13"/>
      <c r="G537" s="13"/>
      <c r="H537" s="13"/>
    </row>
    <row r="538" spans="2:8" x14ac:dyDescent="0.2">
      <c r="B538" s="13"/>
      <c r="C538" s="13"/>
      <c r="D538" s="13"/>
      <c r="E538" s="13"/>
      <c r="F538" s="13"/>
      <c r="G538" s="13"/>
      <c r="H538" s="13"/>
    </row>
    <row r="539" spans="2:8" x14ac:dyDescent="0.2">
      <c r="B539" s="13"/>
      <c r="C539" s="13"/>
      <c r="D539" s="13"/>
      <c r="E539" s="13"/>
      <c r="F539" s="13"/>
      <c r="G539" s="13"/>
      <c r="H539" s="13"/>
    </row>
    <row r="540" spans="2:8" x14ac:dyDescent="0.2">
      <c r="B540" s="13"/>
      <c r="C540" s="13"/>
      <c r="D540" s="13"/>
      <c r="E540" s="13"/>
      <c r="F540" s="13"/>
      <c r="G540" s="13"/>
      <c r="H540" s="13"/>
    </row>
    <row r="541" spans="2:8" x14ac:dyDescent="0.2">
      <c r="B541" s="13"/>
      <c r="C541" s="13"/>
      <c r="D541" s="13"/>
      <c r="E541" s="13"/>
      <c r="F541" s="13"/>
      <c r="G541" s="13"/>
      <c r="H541" s="13"/>
    </row>
    <row r="542" spans="2:8" x14ac:dyDescent="0.2">
      <c r="B542" s="13"/>
      <c r="C542" s="13"/>
      <c r="D542" s="13"/>
      <c r="E542" s="13"/>
      <c r="F542" s="13"/>
      <c r="G542" s="13"/>
      <c r="H542" s="13"/>
    </row>
    <row r="543" spans="2:8" x14ac:dyDescent="0.2">
      <c r="B543" s="13"/>
      <c r="C543" s="13"/>
      <c r="D543" s="13"/>
      <c r="E543" s="13"/>
      <c r="F543" s="13"/>
      <c r="G543" s="13"/>
      <c r="H543" s="13"/>
    </row>
    <row r="544" spans="2:8" x14ac:dyDescent="0.2">
      <c r="B544" s="13"/>
      <c r="C544" s="13"/>
      <c r="D544" s="13"/>
      <c r="E544" s="13"/>
      <c r="F544" s="13"/>
      <c r="G544" s="13"/>
      <c r="H544" s="13"/>
    </row>
    <row r="545" spans="2:8" x14ac:dyDescent="0.2">
      <c r="B545" s="13"/>
      <c r="C545" s="13"/>
      <c r="D545" s="13"/>
      <c r="E545" s="13"/>
      <c r="F545" s="13"/>
      <c r="G545" s="13"/>
      <c r="H545" s="13"/>
    </row>
    <row r="546" spans="2:8" x14ac:dyDescent="0.2">
      <c r="B546" s="13"/>
      <c r="C546" s="13"/>
      <c r="D546" s="13"/>
      <c r="E546" s="13"/>
      <c r="F546" s="13"/>
      <c r="G546" s="13"/>
      <c r="H546" s="13"/>
    </row>
    <row r="547" spans="2:8" x14ac:dyDescent="0.2">
      <c r="B547" s="13"/>
      <c r="C547" s="13"/>
      <c r="D547" s="13"/>
      <c r="E547" s="13"/>
      <c r="F547" s="13"/>
      <c r="G547" s="13"/>
      <c r="H547" s="13"/>
    </row>
    <row r="548" spans="2:8" x14ac:dyDescent="0.2">
      <c r="B548" s="13"/>
      <c r="C548" s="13"/>
      <c r="D548" s="13"/>
      <c r="E548" s="13"/>
      <c r="F548" s="13"/>
      <c r="G548" s="13"/>
      <c r="H548" s="13"/>
    </row>
    <row r="549" spans="2:8" x14ac:dyDescent="0.2">
      <c r="B549" s="13"/>
      <c r="C549" s="13"/>
      <c r="D549" s="13"/>
      <c r="E549" s="13"/>
      <c r="F549" s="13"/>
      <c r="G549" s="13"/>
      <c r="H549" s="13"/>
    </row>
    <row r="550" spans="2:8" x14ac:dyDescent="0.2">
      <c r="B550" s="13"/>
      <c r="C550" s="13"/>
      <c r="D550" s="13"/>
      <c r="E550" s="13"/>
      <c r="F550" s="13"/>
      <c r="G550" s="13"/>
      <c r="H550" s="13"/>
    </row>
    <row r="551" spans="2:8" x14ac:dyDescent="0.2">
      <c r="B551" s="13"/>
      <c r="C551" s="13"/>
      <c r="D551" s="13"/>
      <c r="E551" s="13"/>
      <c r="F551" s="13"/>
      <c r="G551" s="13"/>
      <c r="H551" s="13"/>
    </row>
    <row r="552" spans="2:8" x14ac:dyDescent="0.2">
      <c r="B552" s="13"/>
      <c r="C552" s="13"/>
      <c r="D552" s="13"/>
      <c r="E552" s="13"/>
      <c r="F552" s="13"/>
      <c r="G552" s="13"/>
      <c r="H552" s="13"/>
    </row>
    <row r="553" spans="2:8" x14ac:dyDescent="0.2">
      <c r="B553" s="13"/>
      <c r="C553" s="13"/>
      <c r="D553" s="13"/>
      <c r="E553" s="13"/>
      <c r="F553" s="13"/>
      <c r="G553" s="13"/>
      <c r="H553" s="13"/>
    </row>
    <row r="554" spans="2:8" x14ac:dyDescent="0.2">
      <c r="B554" s="13"/>
      <c r="C554" s="13"/>
      <c r="D554" s="13"/>
      <c r="E554" s="13"/>
      <c r="F554" s="13"/>
      <c r="G554" s="13"/>
      <c r="H554" s="13"/>
    </row>
    <row r="555" spans="2:8" x14ac:dyDescent="0.2">
      <c r="B555" s="13"/>
      <c r="C555" s="13"/>
      <c r="D555" s="13"/>
      <c r="E555" s="13"/>
      <c r="F555" s="13"/>
      <c r="G555" s="13"/>
      <c r="H555" s="13"/>
    </row>
    <row r="556" spans="2:8" x14ac:dyDescent="0.2">
      <c r="B556" s="13"/>
      <c r="C556" s="13"/>
      <c r="D556" s="13"/>
      <c r="E556" s="13"/>
      <c r="F556" s="13"/>
      <c r="G556" s="13"/>
      <c r="H556" s="13"/>
    </row>
    <row r="557" spans="2:8" x14ac:dyDescent="0.2">
      <c r="B557" s="13"/>
      <c r="C557" s="13"/>
      <c r="D557" s="13"/>
      <c r="E557" s="13"/>
      <c r="F557" s="13"/>
      <c r="G557" s="13"/>
      <c r="H557" s="13"/>
    </row>
    <row r="558" spans="2:8" x14ac:dyDescent="0.2">
      <c r="B558" s="13"/>
      <c r="C558" s="13"/>
      <c r="D558" s="13"/>
      <c r="E558" s="13"/>
      <c r="F558" s="13"/>
      <c r="G558" s="13"/>
      <c r="H558" s="13"/>
    </row>
    <row r="559" spans="2:8" x14ac:dyDescent="0.2">
      <c r="B559" s="13"/>
      <c r="C559" s="13"/>
      <c r="D559" s="13"/>
      <c r="E559" s="13"/>
      <c r="F559" s="13"/>
      <c r="G559" s="13"/>
      <c r="H559" s="13"/>
    </row>
    <row r="560" spans="2:8" x14ac:dyDescent="0.2">
      <c r="B560" s="13"/>
      <c r="C560" s="13"/>
      <c r="D560" s="13"/>
      <c r="E560" s="13"/>
      <c r="F560" s="13"/>
      <c r="G560" s="13"/>
      <c r="H560" s="13"/>
    </row>
    <row r="561" spans="2:8" x14ac:dyDescent="0.2">
      <c r="B561" s="13"/>
      <c r="C561" s="13"/>
      <c r="D561" s="13"/>
      <c r="E561" s="13"/>
      <c r="F561" s="13"/>
      <c r="G561" s="13"/>
      <c r="H561" s="13"/>
    </row>
    <row r="562" spans="2:8" x14ac:dyDescent="0.2">
      <c r="B562" s="13"/>
      <c r="C562" s="13"/>
      <c r="D562" s="13"/>
      <c r="E562" s="13"/>
      <c r="F562" s="13"/>
      <c r="G562" s="13"/>
      <c r="H562" s="13"/>
    </row>
    <row r="563" spans="2:8" x14ac:dyDescent="0.2">
      <c r="B563" s="13"/>
      <c r="C563" s="13"/>
      <c r="D563" s="13"/>
      <c r="E563" s="13"/>
      <c r="F563" s="13"/>
      <c r="G563" s="13"/>
      <c r="H563" s="13"/>
    </row>
    <row r="564" spans="2:8" x14ac:dyDescent="0.2">
      <c r="B564" s="13"/>
      <c r="C564" s="13"/>
      <c r="D564" s="13"/>
      <c r="E564" s="13"/>
      <c r="F564" s="13"/>
      <c r="G564" s="13"/>
      <c r="H564" s="13"/>
    </row>
    <row r="565" spans="2:8" x14ac:dyDescent="0.2">
      <c r="B565" s="13"/>
      <c r="C565" s="13"/>
      <c r="D565" s="13"/>
      <c r="E565" s="13"/>
      <c r="F565" s="13"/>
      <c r="G565" s="13"/>
      <c r="H565" s="13"/>
    </row>
    <row r="566" spans="2:8" x14ac:dyDescent="0.2">
      <c r="B566" s="13"/>
      <c r="C566" s="13"/>
      <c r="D566" s="13"/>
      <c r="E566" s="13"/>
      <c r="F566" s="13"/>
      <c r="G566" s="13"/>
      <c r="H566" s="13"/>
    </row>
    <row r="567" spans="2:8" x14ac:dyDescent="0.2">
      <c r="B567" s="13"/>
      <c r="C567" s="13"/>
      <c r="D567" s="13"/>
      <c r="E567" s="13"/>
      <c r="F567" s="13"/>
      <c r="G567" s="13"/>
      <c r="H567" s="13"/>
    </row>
    <row r="568" spans="2:8" x14ac:dyDescent="0.2">
      <c r="B568" s="13"/>
      <c r="C568" s="13"/>
      <c r="D568" s="13"/>
      <c r="E568" s="13"/>
      <c r="F568" s="13"/>
      <c r="G568" s="13"/>
      <c r="H568" s="13"/>
    </row>
    <row r="569" spans="2:8" x14ac:dyDescent="0.2">
      <c r="B569" s="13"/>
      <c r="C569" s="13"/>
      <c r="D569" s="13"/>
      <c r="E569" s="13"/>
      <c r="F569" s="13"/>
      <c r="G569" s="13"/>
      <c r="H569" s="13"/>
    </row>
    <row r="570" spans="2:8" x14ac:dyDescent="0.2">
      <c r="B570" s="13"/>
      <c r="C570" s="13"/>
      <c r="D570" s="13"/>
      <c r="E570" s="13"/>
      <c r="F570" s="13"/>
      <c r="G570" s="13"/>
      <c r="H570" s="13"/>
    </row>
    <row r="571" spans="2:8" x14ac:dyDescent="0.2">
      <c r="B571" s="13"/>
      <c r="C571" s="13"/>
      <c r="D571" s="13"/>
      <c r="E571" s="13"/>
      <c r="F571" s="13"/>
      <c r="G571" s="13"/>
      <c r="H571" s="13"/>
    </row>
    <row r="572" spans="2:8" x14ac:dyDescent="0.2">
      <c r="B572" s="13"/>
      <c r="C572" s="13"/>
      <c r="D572" s="13"/>
      <c r="E572" s="13"/>
      <c r="F572" s="13"/>
      <c r="G572" s="13"/>
      <c r="H572" s="13"/>
    </row>
    <row r="573" spans="2:8" x14ac:dyDescent="0.2">
      <c r="B573" s="13"/>
      <c r="C573" s="13"/>
      <c r="D573" s="13"/>
      <c r="E573" s="13"/>
      <c r="F573" s="13"/>
      <c r="G573" s="13"/>
      <c r="H573" s="13"/>
    </row>
    <row r="574" spans="2:8" x14ac:dyDescent="0.2">
      <c r="B574" s="13"/>
      <c r="C574" s="13"/>
      <c r="D574" s="13"/>
      <c r="E574" s="13"/>
      <c r="F574" s="13"/>
      <c r="G574" s="13"/>
      <c r="H574" s="13"/>
    </row>
    <row r="575" spans="2:8" x14ac:dyDescent="0.2">
      <c r="B575" s="13"/>
      <c r="C575" s="13"/>
      <c r="D575" s="13"/>
      <c r="E575" s="13"/>
      <c r="F575" s="13"/>
      <c r="G575" s="13"/>
      <c r="H575" s="13"/>
    </row>
    <row r="576" spans="2:8" x14ac:dyDescent="0.2">
      <c r="B576" s="13"/>
      <c r="C576" s="13"/>
      <c r="D576" s="13"/>
      <c r="E576" s="13"/>
      <c r="F576" s="13"/>
      <c r="G576" s="13"/>
      <c r="H576" s="13"/>
    </row>
  </sheetData>
  <mergeCells count="3">
    <mergeCell ref="A5:H5"/>
    <mergeCell ref="A6:F6"/>
    <mergeCell ref="A7:F7"/>
  </mergeCells>
  <pageMargins left="0.78740157480314965" right="0.59055118110236227" top="0.59055118110236227" bottom="0.78740157480314965" header="0.31496062992125984" footer="0.15748031496062992"/>
  <pageSetup paperSize="9" scale="63" fitToHeight="5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пр.5</vt:lpstr>
      <vt:lpstr>Лист1!Заголовки_для_печати</vt:lpstr>
      <vt:lpstr>пр.5!Заголовки_для_печати</vt:lpstr>
      <vt:lpstr>Лист1!Область_печати</vt:lpstr>
      <vt:lpstr>Лист2!Область_печати</vt:lpstr>
      <vt:lpstr>пр.5!Область_печати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2016-11-11T02:50:11Z</cp:lastPrinted>
  <dcterms:created xsi:type="dcterms:W3CDTF">2007-12-19T01:06:30Z</dcterms:created>
  <dcterms:modified xsi:type="dcterms:W3CDTF">2016-11-11T02:50:17Z</dcterms:modified>
</cp:coreProperties>
</file>