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7 год\документы к проекту бюджета на 2017-2019гг. для СНД и КСП\"/>
    </mc:Choice>
  </mc:AlternateContent>
  <bookViews>
    <workbookView xWindow="3255" yWindow="5910" windowWidth="15480" windowHeight="4230" activeTab="1"/>
  </bookViews>
  <sheets>
    <sheet name="Лист1" sheetId="1" r:id="rId1"/>
    <sheet name="Пр.6" sheetId="2" r:id="rId2"/>
  </sheets>
  <externalReferences>
    <externalReference r:id="rId3"/>
  </externalReferences>
  <definedNames>
    <definedName name="_xlnm._FilterDatabase" localSheetId="0" hidden="1">Лист1!$A$9:$P$612</definedName>
    <definedName name="_xlnm._FilterDatabase" localSheetId="1" hidden="1">Пр.6!$A$9:$P$522</definedName>
    <definedName name="Z_03BC1D99_56E3_404F_AC0E_FE8E84323C69_.wvu.FilterData" localSheetId="0" hidden="1">Лист1!$A$9:$G$605</definedName>
    <definedName name="Z_03BC1D99_56E3_404F_AC0E_FE8E84323C69_.wvu.FilterData" localSheetId="1" hidden="1">Пр.6!$A$9:$G$515</definedName>
    <definedName name="Z_03BC1D99_56E3_404F_AC0E_FE8E84323C69_.wvu.PrintTitles" localSheetId="0" hidden="1">Лист1!$8:$9</definedName>
    <definedName name="Z_03BC1D99_56E3_404F_AC0E_FE8E84323C69_.wvu.PrintTitles" localSheetId="1" hidden="1">Пр.6!$8:$9</definedName>
    <definedName name="Z_569C28AC_508A_42E7_9335_028897488E30_.wvu.FilterData" localSheetId="0" hidden="1">Лист1!$A$9:$G$605</definedName>
    <definedName name="Z_569C28AC_508A_42E7_9335_028897488E30_.wvu.FilterData" localSheetId="1" hidden="1">Пр.6!$A$9:$G$515</definedName>
    <definedName name="Z_569C28AC_508A_42E7_9335_028897488E30_.wvu.Rows" localSheetId="0" hidden="1">Лист1!$9:$9</definedName>
    <definedName name="Z_569C28AC_508A_42E7_9335_028897488E30_.wvu.Rows" localSheetId="1" hidden="1">Пр.6!$9:$9</definedName>
    <definedName name="Z_6D610E1B_8581_44AB_B543_6C56EE1F79F6_.wvu.FilterData" localSheetId="0" hidden="1">Лист1!$A$9:$G$605</definedName>
    <definedName name="Z_6D610E1B_8581_44AB_B543_6C56EE1F79F6_.wvu.FilterData" localSheetId="1" hidden="1">Пр.6!$A$9:$G$515</definedName>
    <definedName name="Z_721FA8C7_CB7C_4799_9CFA_BA0AEE9F6D02_.wvu.FilterData" localSheetId="0" hidden="1">Лист1!$A$9:$G$605</definedName>
    <definedName name="Z_721FA8C7_CB7C_4799_9CFA_BA0AEE9F6D02_.wvu.FilterData" localSheetId="1" hidden="1">Пр.6!$A$9:$G$515</definedName>
    <definedName name="Z_AB8DF83A_FB6E_48A4_952A_1147FB4C2AE7_.wvu.FilterData" localSheetId="0" hidden="1">Лист1!$A$9:$G$605</definedName>
    <definedName name="Z_AB8DF83A_FB6E_48A4_952A_1147FB4C2AE7_.wvu.FilterData" localSheetId="1" hidden="1">Пр.6!$A$9:$G$515</definedName>
    <definedName name="Z_AB8DF83A_FB6E_48A4_952A_1147FB4C2AE7_.wvu.PrintArea" localSheetId="0" hidden="1">Лист1!$361:$367</definedName>
    <definedName name="Z_AB8DF83A_FB6E_48A4_952A_1147FB4C2AE7_.wvu.PrintArea" localSheetId="1" hidden="1">Пр.6!$286:$291</definedName>
    <definedName name="Z_AB8DF83A_FB6E_48A4_952A_1147FB4C2AE7_.wvu.PrintTitles" localSheetId="0" hidden="1">Лист1!$8:$9</definedName>
    <definedName name="Z_AB8DF83A_FB6E_48A4_952A_1147FB4C2AE7_.wvu.PrintTitles" localSheetId="1" hidden="1">Пр.6!$8:$9</definedName>
    <definedName name="_xlnm.Print_Titles" localSheetId="0">Лист1!$8:$9</definedName>
    <definedName name="_xlnm.Print_Titles" localSheetId="1">Пр.6!$8:$9</definedName>
    <definedName name="_xlnm.Print_Area" localSheetId="0">Лист1!$A$1:$I$608</definedName>
    <definedName name="_xlnm.Print_Area" localSheetId="1">Пр.6!$A$1:$I$518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H486" i="2" l="1"/>
  <c r="I486" i="2"/>
  <c r="G486" i="2"/>
  <c r="H465" i="2"/>
  <c r="I465" i="2"/>
  <c r="G465" i="2"/>
  <c r="H323" i="2"/>
  <c r="I323" i="2"/>
  <c r="G323" i="2"/>
  <c r="H301" i="2"/>
  <c r="I301" i="2"/>
  <c r="G301" i="2"/>
  <c r="H290" i="2"/>
  <c r="I290" i="2"/>
  <c r="G290" i="2"/>
  <c r="H284" i="2"/>
  <c r="I284" i="2"/>
  <c r="G284" i="2"/>
  <c r="H235" i="2"/>
  <c r="I235" i="2"/>
  <c r="G235" i="2"/>
  <c r="H218" i="2"/>
  <c r="I218" i="2"/>
  <c r="I209" i="2" s="1"/>
  <c r="G218" i="2"/>
  <c r="H209" i="2"/>
  <c r="G209" i="2"/>
  <c r="H165" i="2"/>
  <c r="I165" i="2"/>
  <c r="G165" i="2"/>
  <c r="H118" i="2"/>
  <c r="I118" i="2"/>
  <c r="G118" i="2"/>
  <c r="H115" i="2"/>
  <c r="I115" i="2"/>
  <c r="G115" i="2"/>
  <c r="H88" i="2"/>
  <c r="I88" i="2"/>
  <c r="G88" i="2"/>
  <c r="H68" i="2"/>
  <c r="I68" i="2"/>
  <c r="H67" i="2"/>
  <c r="I67" i="2"/>
  <c r="G68" i="2"/>
  <c r="H62" i="2"/>
  <c r="I62" i="2"/>
  <c r="G62" i="2"/>
  <c r="H47" i="2"/>
  <c r="I47" i="2"/>
  <c r="G47" i="2"/>
  <c r="H28" i="2"/>
  <c r="I28" i="2"/>
  <c r="I11" i="2" s="1"/>
  <c r="G28" i="2"/>
  <c r="H11" i="2"/>
  <c r="G11" i="2"/>
  <c r="I514" i="2"/>
  <c r="H514" i="2"/>
  <c r="H513" i="2" s="1"/>
  <c r="G514" i="2"/>
  <c r="G513" i="2" s="1"/>
  <c r="I513" i="2"/>
  <c r="I512" i="2"/>
  <c r="I511" i="2" s="1"/>
  <c r="H512" i="2"/>
  <c r="H511" i="2" s="1"/>
  <c r="G512" i="2"/>
  <c r="G511" i="2" s="1"/>
  <c r="I510" i="2"/>
  <c r="H510" i="2"/>
  <c r="H509" i="2" s="1"/>
  <c r="G510" i="2"/>
  <c r="G509" i="2" s="1"/>
  <c r="I509" i="2"/>
  <c r="I507" i="2"/>
  <c r="I506" i="2" s="1"/>
  <c r="I505" i="2" s="1"/>
  <c r="H507" i="2"/>
  <c r="H506" i="2" s="1"/>
  <c r="H505" i="2" s="1"/>
  <c r="G507" i="2"/>
  <c r="G506" i="2"/>
  <c r="G505" i="2" s="1"/>
  <c r="I503" i="2"/>
  <c r="I502" i="2" s="1"/>
  <c r="H503" i="2"/>
  <c r="H502" i="2" s="1"/>
  <c r="G503" i="2"/>
  <c r="G502" i="2" s="1"/>
  <c r="I501" i="2"/>
  <c r="H501" i="2"/>
  <c r="G501" i="2"/>
  <c r="I500" i="2"/>
  <c r="I498" i="2" s="1"/>
  <c r="H500" i="2"/>
  <c r="G500" i="2"/>
  <c r="I499" i="2"/>
  <c r="H499" i="2"/>
  <c r="G499" i="2"/>
  <c r="G498" i="2"/>
  <c r="I497" i="2"/>
  <c r="H497" i="2"/>
  <c r="H496" i="2" s="1"/>
  <c r="G497" i="2"/>
  <c r="I496" i="2"/>
  <c r="G496" i="2"/>
  <c r="I493" i="2"/>
  <c r="H493" i="2"/>
  <c r="G493" i="2"/>
  <c r="I491" i="2"/>
  <c r="H491" i="2"/>
  <c r="G491" i="2"/>
  <c r="I489" i="2"/>
  <c r="H489" i="2"/>
  <c r="G489" i="2"/>
  <c r="I487" i="2"/>
  <c r="H487" i="2"/>
  <c r="G487" i="2"/>
  <c r="I485" i="2"/>
  <c r="H485" i="2"/>
  <c r="H484" i="2" s="1"/>
  <c r="G485" i="2"/>
  <c r="I484" i="2"/>
  <c r="G484" i="2"/>
  <c r="I483" i="2"/>
  <c r="I482" i="2" s="1"/>
  <c r="H483" i="2"/>
  <c r="G483" i="2"/>
  <c r="G482" i="2" s="1"/>
  <c r="H482" i="2"/>
  <c r="I481" i="2"/>
  <c r="I480" i="2" s="1"/>
  <c r="H481" i="2"/>
  <c r="H480" i="2" s="1"/>
  <c r="G481" i="2"/>
  <c r="G480" i="2" s="1"/>
  <c r="I479" i="2"/>
  <c r="I478" i="2" s="1"/>
  <c r="H479" i="2"/>
  <c r="G479" i="2"/>
  <c r="G478" i="2" s="1"/>
  <c r="H478" i="2"/>
  <c r="I477" i="2"/>
  <c r="H477" i="2"/>
  <c r="H476" i="2" s="1"/>
  <c r="G477" i="2"/>
  <c r="I476" i="2"/>
  <c r="G476" i="2"/>
  <c r="I475" i="2"/>
  <c r="I474" i="2" s="1"/>
  <c r="H475" i="2"/>
  <c r="G475" i="2"/>
  <c r="G474" i="2" s="1"/>
  <c r="H474" i="2"/>
  <c r="I473" i="2"/>
  <c r="I472" i="2" s="1"/>
  <c r="H473" i="2"/>
  <c r="H472" i="2" s="1"/>
  <c r="G473" i="2"/>
  <c r="G472" i="2" s="1"/>
  <c r="I471" i="2"/>
  <c r="H471" i="2"/>
  <c r="H470" i="2" s="1"/>
  <c r="G471" i="2"/>
  <c r="I470" i="2"/>
  <c r="G470" i="2"/>
  <c r="I469" i="2"/>
  <c r="H469" i="2"/>
  <c r="H468" i="2" s="1"/>
  <c r="G469" i="2"/>
  <c r="G468" i="2" s="1"/>
  <c r="I468" i="2"/>
  <c r="I467" i="2"/>
  <c r="I466" i="2" s="1"/>
  <c r="H467" i="2"/>
  <c r="G467" i="2"/>
  <c r="G466" i="2" s="1"/>
  <c r="H466" i="2"/>
  <c r="I464" i="2"/>
  <c r="I463" i="2" s="1"/>
  <c r="I462" i="2" s="1"/>
  <c r="H464" i="2"/>
  <c r="G464" i="2"/>
  <c r="G463" i="2" s="1"/>
  <c r="G462" i="2" s="1"/>
  <c r="H463" i="2"/>
  <c r="H462" i="2" s="1"/>
  <c r="I459" i="2"/>
  <c r="H459" i="2"/>
  <c r="G459" i="2"/>
  <c r="I457" i="2"/>
  <c r="H457" i="2"/>
  <c r="G457" i="2"/>
  <c r="I455" i="2"/>
  <c r="H455" i="2"/>
  <c r="G455" i="2"/>
  <c r="I453" i="2"/>
  <c r="I452" i="2" s="1"/>
  <c r="I451" i="2" s="1"/>
  <c r="H453" i="2"/>
  <c r="H452" i="2" s="1"/>
  <c r="H451" i="2" s="1"/>
  <c r="G453" i="2"/>
  <c r="G452" i="2" s="1"/>
  <c r="G451" i="2" s="1"/>
  <c r="I449" i="2"/>
  <c r="H449" i="2"/>
  <c r="H448" i="2" s="1"/>
  <c r="H447" i="2" s="1"/>
  <c r="H446" i="2" s="1"/>
  <c r="G449" i="2"/>
  <c r="G448" i="2" s="1"/>
  <c r="G447" i="2" s="1"/>
  <c r="G446" i="2" s="1"/>
  <c r="I448" i="2"/>
  <c r="I447" i="2" s="1"/>
  <c r="I446" i="2" s="1"/>
  <c r="I444" i="2"/>
  <c r="I443" i="2" s="1"/>
  <c r="I442" i="2" s="1"/>
  <c r="I441" i="2" s="1"/>
  <c r="H444" i="2"/>
  <c r="H443" i="2"/>
  <c r="H442" i="2" s="1"/>
  <c r="H441" i="2" s="1"/>
  <c r="I440" i="2"/>
  <c r="H440" i="2"/>
  <c r="H439" i="2" s="1"/>
  <c r="G440" i="2"/>
  <c r="G439" i="2" s="1"/>
  <c r="I439" i="2"/>
  <c r="I438" i="2"/>
  <c r="I437" i="2" s="1"/>
  <c r="H438" i="2"/>
  <c r="H437" i="2" s="1"/>
  <c r="G438" i="2"/>
  <c r="G437" i="2" s="1"/>
  <c r="I435" i="2"/>
  <c r="I434" i="2" s="1"/>
  <c r="I433" i="2" s="1"/>
  <c r="H435" i="2"/>
  <c r="G435" i="2"/>
  <c r="H434" i="2"/>
  <c r="H433" i="2" s="1"/>
  <c r="G434" i="2"/>
  <c r="G433" i="2" s="1"/>
  <c r="I428" i="2"/>
  <c r="H428" i="2"/>
  <c r="G428" i="2"/>
  <c r="I427" i="2"/>
  <c r="H427" i="2"/>
  <c r="G427" i="2"/>
  <c r="I426" i="2"/>
  <c r="H426" i="2"/>
  <c r="G426" i="2"/>
  <c r="I425" i="2"/>
  <c r="H425" i="2"/>
  <c r="H424" i="2" s="1"/>
  <c r="G425" i="2"/>
  <c r="I422" i="2"/>
  <c r="H422" i="2"/>
  <c r="G422" i="2"/>
  <c r="I420" i="2"/>
  <c r="H420" i="2"/>
  <c r="G420" i="2"/>
  <c r="I417" i="2"/>
  <c r="H417" i="2"/>
  <c r="G417" i="2"/>
  <c r="I415" i="2"/>
  <c r="I413" i="2" s="1"/>
  <c r="H415" i="2"/>
  <c r="H413" i="2" s="1"/>
  <c r="G415" i="2"/>
  <c r="I414" i="2"/>
  <c r="H414" i="2"/>
  <c r="G414" i="2"/>
  <c r="I412" i="2"/>
  <c r="I410" i="2" s="1"/>
  <c r="H412" i="2"/>
  <c r="H410" i="2" s="1"/>
  <c r="G412" i="2"/>
  <c r="I411" i="2"/>
  <c r="H411" i="2"/>
  <c r="G411" i="2"/>
  <c r="I409" i="2"/>
  <c r="I407" i="2" s="1"/>
  <c r="H409" i="2"/>
  <c r="H407" i="2" s="1"/>
  <c r="G409" i="2"/>
  <c r="G407" i="2" s="1"/>
  <c r="I406" i="2"/>
  <c r="H406" i="2"/>
  <c r="H405" i="2" s="1"/>
  <c r="G406" i="2"/>
  <c r="G405" i="2" s="1"/>
  <c r="I405" i="2"/>
  <c r="I403" i="2"/>
  <c r="I401" i="2" s="1"/>
  <c r="H403" i="2"/>
  <c r="H401" i="2" s="1"/>
  <c r="G403" i="2"/>
  <c r="I402" i="2"/>
  <c r="H402" i="2"/>
  <c r="G402" i="2"/>
  <c r="I400" i="2"/>
  <c r="I398" i="2" s="1"/>
  <c r="H400" i="2"/>
  <c r="G400" i="2"/>
  <c r="G398" i="2" s="1"/>
  <c r="I399" i="2"/>
  <c r="H399" i="2"/>
  <c r="G399" i="2"/>
  <c r="I397" i="2"/>
  <c r="H397" i="2"/>
  <c r="H395" i="2" s="1"/>
  <c r="G397" i="2"/>
  <c r="I396" i="2"/>
  <c r="H396" i="2"/>
  <c r="G396" i="2"/>
  <c r="G395" i="2"/>
  <c r="I394" i="2"/>
  <c r="H394" i="2"/>
  <c r="G394" i="2"/>
  <c r="I393" i="2"/>
  <c r="I392" i="2" s="1"/>
  <c r="H393" i="2"/>
  <c r="G393" i="2"/>
  <c r="H392" i="2"/>
  <c r="I391" i="2"/>
  <c r="H391" i="2"/>
  <c r="H389" i="2" s="1"/>
  <c r="G391" i="2"/>
  <c r="I390" i="2"/>
  <c r="I389" i="2" s="1"/>
  <c r="H390" i="2"/>
  <c r="G390" i="2"/>
  <c r="I388" i="2"/>
  <c r="I386" i="2" s="1"/>
  <c r="H388" i="2"/>
  <c r="G388" i="2"/>
  <c r="I387" i="2"/>
  <c r="H387" i="2"/>
  <c r="G387" i="2"/>
  <c r="G386" i="2"/>
  <c r="I383" i="2"/>
  <c r="H383" i="2"/>
  <c r="G383" i="2"/>
  <c r="I382" i="2"/>
  <c r="I381" i="2" s="1"/>
  <c r="H382" i="2"/>
  <c r="H381" i="2" s="1"/>
  <c r="G382" i="2"/>
  <c r="G381" i="2" s="1"/>
  <c r="G380" i="2"/>
  <c r="I379" i="2"/>
  <c r="H379" i="2"/>
  <c r="G379" i="2"/>
  <c r="I378" i="2"/>
  <c r="I376" i="2" s="1"/>
  <c r="H378" i="2"/>
  <c r="H376" i="2" s="1"/>
  <c r="G378" i="2"/>
  <c r="I377" i="2"/>
  <c r="H377" i="2"/>
  <c r="G377" i="2"/>
  <c r="I375" i="2"/>
  <c r="I373" i="2" s="1"/>
  <c r="H375" i="2"/>
  <c r="H373" i="2" s="1"/>
  <c r="G375" i="2"/>
  <c r="I374" i="2"/>
  <c r="H374" i="2"/>
  <c r="G374" i="2"/>
  <c r="I372" i="2"/>
  <c r="I370" i="2" s="1"/>
  <c r="H372" i="2"/>
  <c r="G372" i="2"/>
  <c r="I371" i="2"/>
  <c r="H371" i="2"/>
  <c r="G371" i="2"/>
  <c r="G370" i="2"/>
  <c r="I369" i="2"/>
  <c r="H369" i="2"/>
  <c r="G369" i="2"/>
  <c r="I368" i="2"/>
  <c r="H368" i="2"/>
  <c r="G368" i="2"/>
  <c r="H367" i="2"/>
  <c r="G367" i="2"/>
  <c r="I366" i="2"/>
  <c r="H366" i="2"/>
  <c r="G366" i="2"/>
  <c r="G364" i="2" s="1"/>
  <c r="I365" i="2"/>
  <c r="I364" i="2" s="1"/>
  <c r="H365" i="2"/>
  <c r="G365" i="2"/>
  <c r="H364" i="2"/>
  <c r="I362" i="2"/>
  <c r="H362" i="2"/>
  <c r="H361" i="2" s="1"/>
  <c r="G362" i="2"/>
  <c r="G361" i="2" s="1"/>
  <c r="I361" i="2"/>
  <c r="I360" i="2"/>
  <c r="H360" i="2"/>
  <c r="G360" i="2"/>
  <c r="G358" i="2" s="1"/>
  <c r="I359" i="2"/>
  <c r="H359" i="2"/>
  <c r="G359" i="2"/>
  <c r="H358" i="2"/>
  <c r="I357" i="2"/>
  <c r="H357" i="2"/>
  <c r="H355" i="2" s="1"/>
  <c r="G357" i="2"/>
  <c r="G355" i="2" s="1"/>
  <c r="I356" i="2"/>
  <c r="H356" i="2"/>
  <c r="G356" i="2"/>
  <c r="I355" i="2"/>
  <c r="I354" i="2"/>
  <c r="H354" i="2"/>
  <c r="H352" i="2" s="1"/>
  <c r="G354" i="2"/>
  <c r="G352" i="2" s="1"/>
  <c r="I353" i="2"/>
  <c r="H353" i="2"/>
  <c r="G353" i="2"/>
  <c r="I352" i="2"/>
  <c r="I351" i="2"/>
  <c r="H351" i="2"/>
  <c r="G351" i="2"/>
  <c r="I350" i="2"/>
  <c r="H350" i="2"/>
  <c r="G350" i="2"/>
  <c r="G349" i="2"/>
  <c r="I348" i="2"/>
  <c r="I346" i="2" s="1"/>
  <c r="H348" i="2"/>
  <c r="G348" i="2"/>
  <c r="I347" i="2"/>
  <c r="H347" i="2"/>
  <c r="H346" i="2" s="1"/>
  <c r="G347" i="2"/>
  <c r="G346" i="2"/>
  <c r="I345" i="2"/>
  <c r="I343" i="2" s="1"/>
  <c r="H345" i="2"/>
  <c r="G345" i="2"/>
  <c r="G343" i="2" s="1"/>
  <c r="I344" i="2"/>
  <c r="H344" i="2"/>
  <c r="H343" i="2" s="1"/>
  <c r="G344" i="2"/>
  <c r="I342" i="2"/>
  <c r="I340" i="2" s="1"/>
  <c r="H342" i="2"/>
  <c r="G342" i="2"/>
  <c r="I341" i="2"/>
  <c r="H341" i="2"/>
  <c r="G341" i="2"/>
  <c r="I337" i="2"/>
  <c r="I336" i="2" s="1"/>
  <c r="H337" i="2"/>
  <c r="H336" i="2" s="1"/>
  <c r="G337" i="2"/>
  <c r="G336" i="2"/>
  <c r="I335" i="2"/>
  <c r="H335" i="2"/>
  <c r="G335" i="2"/>
  <c r="I334" i="2"/>
  <c r="H334" i="2"/>
  <c r="G334" i="2"/>
  <c r="I333" i="2"/>
  <c r="H333" i="2"/>
  <c r="G333" i="2"/>
  <c r="G332" i="2" s="1"/>
  <c r="I331" i="2"/>
  <c r="I330" i="2" s="1"/>
  <c r="H331" i="2"/>
  <c r="H330" i="2" s="1"/>
  <c r="G331" i="2"/>
  <c r="G330" i="2" s="1"/>
  <c r="I326" i="2"/>
  <c r="I325" i="2" s="1"/>
  <c r="H326" i="2"/>
  <c r="H325" i="2" s="1"/>
  <c r="G326" i="2"/>
  <c r="G325" i="2" s="1"/>
  <c r="I321" i="2"/>
  <c r="I320" i="2" s="1"/>
  <c r="I319" i="2" s="1"/>
  <c r="H321" i="2"/>
  <c r="H320" i="2" s="1"/>
  <c r="H319" i="2" s="1"/>
  <c r="G321" i="2"/>
  <c r="G320" i="2" s="1"/>
  <c r="G319" i="2" s="1"/>
  <c r="I315" i="2"/>
  <c r="H315" i="2"/>
  <c r="G315" i="2"/>
  <c r="I311" i="2"/>
  <c r="H311" i="2"/>
  <c r="G311" i="2"/>
  <c r="I309" i="2"/>
  <c r="I307" i="2" s="1"/>
  <c r="H309" i="2"/>
  <c r="G309" i="2"/>
  <c r="G307" i="2" s="1"/>
  <c r="I308" i="2"/>
  <c r="H308" i="2"/>
  <c r="G308" i="2"/>
  <c r="H307" i="2"/>
  <c r="I305" i="2"/>
  <c r="H305" i="2"/>
  <c r="G305" i="2"/>
  <c r="I304" i="2"/>
  <c r="H304" i="2"/>
  <c r="G304" i="2"/>
  <c r="I303" i="2"/>
  <c r="H303" i="2"/>
  <c r="G303" i="2"/>
  <c r="H302" i="2"/>
  <c r="G302" i="2"/>
  <c r="I299" i="2"/>
  <c r="H299" i="2"/>
  <c r="G299" i="2"/>
  <c r="G298" i="2" s="1"/>
  <c r="I298" i="2"/>
  <c r="H298" i="2"/>
  <c r="I297" i="2"/>
  <c r="H297" i="2"/>
  <c r="H295" i="2" s="1"/>
  <c r="G297" i="2"/>
  <c r="I296" i="2"/>
  <c r="H296" i="2"/>
  <c r="G296" i="2"/>
  <c r="I295" i="2"/>
  <c r="I291" i="2"/>
  <c r="H291" i="2"/>
  <c r="G291" i="2"/>
  <c r="I289" i="2"/>
  <c r="H289" i="2"/>
  <c r="H286" i="2" s="1"/>
  <c r="G289" i="2"/>
  <c r="I288" i="2"/>
  <c r="H288" i="2"/>
  <c r="G288" i="2"/>
  <c r="G286" i="2" s="1"/>
  <c r="I287" i="2"/>
  <c r="H287" i="2"/>
  <c r="G287" i="2"/>
  <c r="I286" i="2"/>
  <c r="I285" i="2"/>
  <c r="H285" i="2"/>
  <c r="G285" i="2"/>
  <c r="I281" i="2"/>
  <c r="H281" i="2"/>
  <c r="G281" i="2"/>
  <c r="I280" i="2"/>
  <c r="H280" i="2"/>
  <c r="H279" i="2" s="1"/>
  <c r="G280" i="2"/>
  <c r="G279" i="2" s="1"/>
  <c r="I279" i="2"/>
  <c r="I278" i="2"/>
  <c r="H278" i="2"/>
  <c r="G278" i="2"/>
  <c r="G276" i="2" s="1"/>
  <c r="I277" i="2"/>
  <c r="H277" i="2"/>
  <c r="G277" i="2"/>
  <c r="H276" i="2"/>
  <c r="I275" i="2"/>
  <c r="H275" i="2"/>
  <c r="H274" i="2" s="1"/>
  <c r="G275" i="2"/>
  <c r="G274" i="2" s="1"/>
  <c r="I274" i="2"/>
  <c r="I273" i="2"/>
  <c r="I272" i="2" s="1"/>
  <c r="H273" i="2"/>
  <c r="H272" i="2" s="1"/>
  <c r="G273" i="2"/>
  <c r="G272" i="2"/>
  <c r="I271" i="2"/>
  <c r="I270" i="2" s="1"/>
  <c r="H271" i="2"/>
  <c r="H270" i="2" s="1"/>
  <c r="G271" i="2"/>
  <c r="G270" i="2" s="1"/>
  <c r="I269" i="2"/>
  <c r="I267" i="2" s="1"/>
  <c r="H269" i="2"/>
  <c r="G269" i="2"/>
  <c r="I268" i="2"/>
  <c r="H268" i="2"/>
  <c r="G268" i="2"/>
  <c r="G267" i="2"/>
  <c r="I260" i="2"/>
  <c r="H260" i="2"/>
  <c r="G260" i="2"/>
  <c r="I258" i="2"/>
  <c r="H258" i="2"/>
  <c r="G258" i="2"/>
  <c r="I255" i="2"/>
  <c r="H255" i="2"/>
  <c r="G255" i="2"/>
  <c r="I254" i="2"/>
  <c r="H254" i="2"/>
  <c r="G254" i="2"/>
  <c r="I253" i="2"/>
  <c r="H253" i="2"/>
  <c r="H252" i="2" s="1"/>
  <c r="G253" i="2"/>
  <c r="G252" i="2" s="1"/>
  <c r="I250" i="2"/>
  <c r="H250" i="2"/>
  <c r="G250" i="2"/>
  <c r="I247" i="2"/>
  <c r="H247" i="2"/>
  <c r="G247" i="2"/>
  <c r="I243" i="2"/>
  <c r="H243" i="2"/>
  <c r="G243" i="2"/>
  <c r="I240" i="2"/>
  <c r="H240" i="2"/>
  <c r="G240" i="2"/>
  <c r="I238" i="2"/>
  <c r="H238" i="2"/>
  <c r="G238" i="2"/>
  <c r="I236" i="2"/>
  <c r="H236" i="2"/>
  <c r="G236" i="2"/>
  <c r="G234" i="2"/>
  <c r="I233" i="2"/>
  <c r="I232" i="2" s="1"/>
  <c r="H233" i="2"/>
  <c r="H232" i="2" s="1"/>
  <c r="G233" i="2"/>
  <c r="G232" i="2" s="1"/>
  <c r="I229" i="2"/>
  <c r="H229" i="2"/>
  <c r="G229" i="2"/>
  <c r="I228" i="2"/>
  <c r="H228" i="2"/>
  <c r="G228" i="2"/>
  <c r="G226" i="2" s="1"/>
  <c r="I227" i="2"/>
  <c r="I226" i="2" s="1"/>
  <c r="H227" i="2"/>
  <c r="H226" i="2" s="1"/>
  <c r="G227" i="2"/>
  <c r="I222" i="2"/>
  <c r="H222" i="2"/>
  <c r="G222" i="2"/>
  <c r="I220" i="2"/>
  <c r="H220" i="2"/>
  <c r="G220" i="2"/>
  <c r="I219" i="2"/>
  <c r="H219" i="2"/>
  <c r="G219" i="2"/>
  <c r="I217" i="2"/>
  <c r="H217" i="2"/>
  <c r="G217" i="2"/>
  <c r="I216" i="2"/>
  <c r="H216" i="2"/>
  <c r="G216" i="2"/>
  <c r="I215" i="2"/>
  <c r="I214" i="2" s="1"/>
  <c r="H215" i="2"/>
  <c r="G215" i="2"/>
  <c r="H214" i="2"/>
  <c r="G214" i="2"/>
  <c r="I211" i="2"/>
  <c r="H211" i="2"/>
  <c r="H210" i="2" s="1"/>
  <c r="G211" i="2"/>
  <c r="G210" i="2" s="1"/>
  <c r="I210" i="2"/>
  <c r="I206" i="2"/>
  <c r="H206" i="2"/>
  <c r="G206" i="2"/>
  <c r="I205" i="2"/>
  <c r="H205" i="2"/>
  <c r="G205" i="2"/>
  <c r="I204" i="2"/>
  <c r="H204" i="2"/>
  <c r="G204" i="2"/>
  <c r="I203" i="2"/>
  <c r="H203" i="2"/>
  <c r="G203" i="2"/>
  <c r="I202" i="2"/>
  <c r="H202" i="2"/>
  <c r="G202" i="2"/>
  <c r="G201" i="2"/>
  <c r="I199" i="2"/>
  <c r="H199" i="2"/>
  <c r="G199" i="2"/>
  <c r="I198" i="2"/>
  <c r="I197" i="2" s="1"/>
  <c r="H198" i="2"/>
  <c r="H197" i="2" s="1"/>
  <c r="G198" i="2"/>
  <c r="G197" i="2"/>
  <c r="I193" i="2"/>
  <c r="I192" i="2" s="1"/>
  <c r="I191" i="2" s="1"/>
  <c r="H193" i="2"/>
  <c r="G193" i="2"/>
  <c r="H192" i="2"/>
  <c r="H191" i="2" s="1"/>
  <c r="G192" i="2"/>
  <c r="G191" i="2" s="1"/>
  <c r="I189" i="2"/>
  <c r="H189" i="2"/>
  <c r="G189" i="2"/>
  <c r="I187" i="2"/>
  <c r="H187" i="2"/>
  <c r="G187" i="2"/>
  <c r="I183" i="2"/>
  <c r="H183" i="2"/>
  <c r="G183" i="2"/>
  <c r="I179" i="2"/>
  <c r="H179" i="2"/>
  <c r="H178" i="2" s="1"/>
  <c r="G179" i="2"/>
  <c r="G178" i="2" s="1"/>
  <c r="I178" i="2"/>
  <c r="I174" i="2"/>
  <c r="H174" i="2"/>
  <c r="G174" i="2"/>
  <c r="I169" i="2"/>
  <c r="I168" i="2" s="1"/>
  <c r="H169" i="2"/>
  <c r="H168" i="2" s="1"/>
  <c r="G169" i="2"/>
  <c r="G168" i="2" s="1"/>
  <c r="I166" i="2"/>
  <c r="H166" i="2"/>
  <c r="G166" i="2"/>
  <c r="I162" i="2"/>
  <c r="I161" i="2" s="1"/>
  <c r="I160" i="2" s="1"/>
  <c r="H162" i="2"/>
  <c r="H161" i="2" s="1"/>
  <c r="H160" i="2" s="1"/>
  <c r="G162" i="2"/>
  <c r="G161" i="2" s="1"/>
  <c r="G160" i="2" s="1"/>
  <c r="I158" i="2"/>
  <c r="H158" i="2"/>
  <c r="G158" i="2"/>
  <c r="I156" i="2"/>
  <c r="H156" i="2"/>
  <c r="G156" i="2"/>
  <c r="I150" i="2"/>
  <c r="H150" i="2"/>
  <c r="G150" i="2"/>
  <c r="I147" i="2"/>
  <c r="H147" i="2"/>
  <c r="G147" i="2"/>
  <c r="I145" i="2"/>
  <c r="H145" i="2"/>
  <c r="G145" i="2"/>
  <c r="I142" i="2"/>
  <c r="H142" i="2"/>
  <c r="G142" i="2"/>
  <c r="I140" i="2"/>
  <c r="H140" i="2"/>
  <c r="G140" i="2"/>
  <c r="I138" i="2"/>
  <c r="H138" i="2"/>
  <c r="G138" i="2"/>
  <c r="I136" i="2"/>
  <c r="H136" i="2"/>
  <c r="G136" i="2"/>
  <c r="I130" i="2"/>
  <c r="I129" i="2" s="1"/>
  <c r="H130" i="2"/>
  <c r="H129" i="2" s="1"/>
  <c r="G130" i="2"/>
  <c r="G129" i="2" s="1"/>
  <c r="I127" i="2"/>
  <c r="I126" i="2" s="1"/>
  <c r="H127" i="2"/>
  <c r="H126" i="2" s="1"/>
  <c r="G127" i="2"/>
  <c r="G126" i="2" s="1"/>
  <c r="I124" i="2"/>
  <c r="H124" i="2"/>
  <c r="G124" i="2"/>
  <c r="I121" i="2"/>
  <c r="H121" i="2"/>
  <c r="G121" i="2"/>
  <c r="I119" i="2"/>
  <c r="H119" i="2"/>
  <c r="G119" i="2"/>
  <c r="I114" i="2"/>
  <c r="H114" i="2"/>
  <c r="G114" i="2"/>
  <c r="I112" i="2"/>
  <c r="H112" i="2"/>
  <c r="G112" i="2"/>
  <c r="I110" i="2"/>
  <c r="H110" i="2"/>
  <c r="G110" i="2"/>
  <c r="I108" i="2"/>
  <c r="H108" i="2"/>
  <c r="G108" i="2"/>
  <c r="I103" i="2"/>
  <c r="I102" i="2" s="1"/>
  <c r="I101" i="2" s="1"/>
  <c r="H103" i="2"/>
  <c r="H102" i="2" s="1"/>
  <c r="H101" i="2" s="1"/>
  <c r="G103" i="2"/>
  <c r="G102" i="2" s="1"/>
  <c r="G101" i="2" s="1"/>
  <c r="I98" i="2"/>
  <c r="I97" i="2" s="1"/>
  <c r="H98" i="2"/>
  <c r="H97" i="2" s="1"/>
  <c r="G98" i="2"/>
  <c r="G97" i="2" s="1"/>
  <c r="I95" i="2"/>
  <c r="H95" i="2"/>
  <c r="G95" i="2"/>
  <c r="I93" i="2"/>
  <c r="H93" i="2"/>
  <c r="G93" i="2"/>
  <c r="I91" i="2"/>
  <c r="H91" i="2"/>
  <c r="G91" i="2"/>
  <c r="I89" i="2"/>
  <c r="H89" i="2"/>
  <c r="G89" i="2"/>
  <c r="I86" i="2"/>
  <c r="I84" i="2" s="1"/>
  <c r="I83" i="2" s="1"/>
  <c r="I82" i="2" s="1"/>
  <c r="H86" i="2"/>
  <c r="G86" i="2"/>
  <c r="I85" i="2"/>
  <c r="H85" i="2"/>
  <c r="H84" i="2" s="1"/>
  <c r="H83" i="2" s="1"/>
  <c r="H82" i="2" s="1"/>
  <c r="G85" i="2"/>
  <c r="G84" i="2"/>
  <c r="G83" i="2" s="1"/>
  <c r="G82" i="2" s="1"/>
  <c r="I80" i="2"/>
  <c r="H80" i="2"/>
  <c r="G80" i="2"/>
  <c r="I77" i="2"/>
  <c r="H77" i="2"/>
  <c r="G77" i="2"/>
  <c r="I75" i="2"/>
  <c r="H75" i="2"/>
  <c r="G75" i="2"/>
  <c r="I73" i="2"/>
  <c r="H73" i="2"/>
  <c r="G73" i="2"/>
  <c r="I71" i="2"/>
  <c r="H71" i="2"/>
  <c r="G71" i="2"/>
  <c r="I69" i="2"/>
  <c r="H69" i="2"/>
  <c r="G69" i="2"/>
  <c r="I65" i="2"/>
  <c r="H65" i="2"/>
  <c r="G65" i="2"/>
  <c r="I63" i="2"/>
  <c r="H63" i="2"/>
  <c r="G63" i="2"/>
  <c r="I60" i="2"/>
  <c r="I59" i="2" s="1"/>
  <c r="H60" i="2"/>
  <c r="H59" i="2" s="1"/>
  <c r="G60" i="2"/>
  <c r="G59" i="2" s="1"/>
  <c r="I56" i="2"/>
  <c r="H56" i="2"/>
  <c r="G56" i="2"/>
  <c r="I54" i="2"/>
  <c r="H54" i="2"/>
  <c r="G54" i="2"/>
  <c r="I52" i="2"/>
  <c r="H52" i="2"/>
  <c r="G52" i="2"/>
  <c r="I49" i="2"/>
  <c r="I48" i="2" s="1"/>
  <c r="H49" i="2"/>
  <c r="H48" i="2" s="1"/>
  <c r="G49" i="2"/>
  <c r="G48" i="2"/>
  <c r="I45" i="2"/>
  <c r="I44" i="2" s="1"/>
  <c r="H45" i="2"/>
  <c r="G45" i="2"/>
  <c r="H44" i="2"/>
  <c r="G44" i="2"/>
  <c r="I41" i="2"/>
  <c r="H41" i="2"/>
  <c r="G41" i="2"/>
  <c r="I39" i="2"/>
  <c r="H39" i="2"/>
  <c r="G39" i="2"/>
  <c r="I38" i="2"/>
  <c r="I37" i="2" s="1"/>
  <c r="H38" i="2"/>
  <c r="H37" i="2" s="1"/>
  <c r="G38" i="2"/>
  <c r="G37" i="2"/>
  <c r="I36" i="2"/>
  <c r="I35" i="2" s="1"/>
  <c r="H36" i="2"/>
  <c r="G36" i="2"/>
  <c r="G35" i="2" s="1"/>
  <c r="H35" i="2"/>
  <c r="I33" i="2"/>
  <c r="H33" i="2"/>
  <c r="G33" i="2"/>
  <c r="I32" i="2"/>
  <c r="I31" i="2" s="1"/>
  <c r="H32" i="2"/>
  <c r="H31" i="2" s="1"/>
  <c r="G32" i="2"/>
  <c r="G31" i="2"/>
  <c r="I30" i="2"/>
  <c r="H30" i="2"/>
  <c r="G30" i="2"/>
  <c r="G29" i="2" s="1"/>
  <c r="I29" i="2"/>
  <c r="H29" i="2"/>
  <c r="I25" i="2"/>
  <c r="H25" i="2"/>
  <c r="G25" i="2"/>
  <c r="I22" i="2"/>
  <c r="I21" i="2" s="1"/>
  <c r="H22" i="2"/>
  <c r="H21" i="2" s="1"/>
  <c r="G22" i="2"/>
  <c r="G21" i="2" s="1"/>
  <c r="I20" i="2"/>
  <c r="I19" i="2" s="1"/>
  <c r="H20" i="2"/>
  <c r="H19" i="2" s="1"/>
  <c r="G20" i="2"/>
  <c r="G19" i="2" s="1"/>
  <c r="I18" i="2"/>
  <c r="I16" i="2" s="1"/>
  <c r="H18" i="2"/>
  <c r="G18" i="2"/>
  <c r="I17" i="2"/>
  <c r="H17" i="2"/>
  <c r="G17" i="2"/>
  <c r="G16" i="2" s="1"/>
  <c r="I14" i="2"/>
  <c r="I13" i="2" s="1"/>
  <c r="I12" i="2" s="1"/>
  <c r="H14" i="2"/>
  <c r="H13" i="2" s="1"/>
  <c r="H12" i="2" s="1"/>
  <c r="G14" i="2"/>
  <c r="G13" i="2" s="1"/>
  <c r="G12" i="2" s="1"/>
  <c r="H155" i="2" l="1"/>
  <c r="H154" i="2" s="1"/>
  <c r="H508" i="2"/>
  <c r="H340" i="2"/>
  <c r="H349" i="2"/>
  <c r="I349" i="2"/>
  <c r="G376" i="2"/>
  <c r="G410" i="2"/>
  <c r="G413" i="2"/>
  <c r="G404" i="2" s="1"/>
  <c r="G508" i="2"/>
  <c r="G504" i="2" s="1"/>
  <c r="H16" i="2"/>
  <c r="I252" i="2"/>
  <c r="H332" i="2"/>
  <c r="H329" i="2" s="1"/>
  <c r="I332" i="2"/>
  <c r="G392" i="2"/>
  <c r="I424" i="2"/>
  <c r="G424" i="2"/>
  <c r="G416" i="2" s="1"/>
  <c r="H498" i="2"/>
  <c r="H495" i="2" s="1"/>
  <c r="G155" i="2"/>
  <c r="G154" i="2" s="1"/>
  <c r="H87" i="2"/>
  <c r="H173" i="2"/>
  <c r="H172" i="2" s="1"/>
  <c r="H171" i="2" s="1"/>
  <c r="G117" i="2"/>
  <c r="G182" i="2"/>
  <c r="G181" i="2" s="1"/>
  <c r="G180" i="2" s="1"/>
  <c r="H294" i="2"/>
  <c r="H293" i="2" s="1"/>
  <c r="H15" i="2"/>
  <c r="G46" i="2"/>
  <c r="I164" i="2"/>
  <c r="G310" i="2"/>
  <c r="I310" i="2"/>
  <c r="G15" i="2"/>
  <c r="H46" i="2"/>
  <c r="H107" i="2"/>
  <c r="H106" i="2" s="1"/>
  <c r="G196" i="2"/>
  <c r="G107" i="2"/>
  <c r="G106" i="2" s="1"/>
  <c r="I173" i="2"/>
  <c r="I172" i="2" s="1"/>
  <c r="I171" i="2" s="1"/>
  <c r="I436" i="2"/>
  <c r="I432" i="2" s="1"/>
  <c r="I431" i="2" s="1"/>
  <c r="H454" i="2"/>
  <c r="H450" i="2" s="1"/>
  <c r="I15" i="2"/>
  <c r="I58" i="2"/>
  <c r="G67" i="2"/>
  <c r="I508" i="2"/>
  <c r="I504" i="2" s="1"/>
  <c r="G58" i="2"/>
  <c r="H58" i="2"/>
  <c r="H117" i="2"/>
  <c r="H310" i="2"/>
  <c r="I404" i="2"/>
  <c r="I454" i="2"/>
  <c r="I450" i="2" s="1"/>
  <c r="G454" i="2"/>
  <c r="G450" i="2" s="1"/>
  <c r="H416" i="2"/>
  <c r="I87" i="2"/>
  <c r="I10" i="2" s="1"/>
  <c r="I117" i="2"/>
  <c r="I155" i="2"/>
  <c r="I154" i="2" s="1"/>
  <c r="H182" i="2"/>
  <c r="H181" i="2" s="1"/>
  <c r="H180" i="2" s="1"/>
  <c r="I182" i="2"/>
  <c r="I181" i="2" s="1"/>
  <c r="I180" i="2" s="1"/>
  <c r="I283" i="2"/>
  <c r="I294" i="2"/>
  <c r="I293" i="2" s="1"/>
  <c r="H436" i="2"/>
  <c r="H432" i="2" s="1"/>
  <c r="H431" i="2" s="1"/>
  <c r="I46" i="2"/>
  <c r="G87" i="2"/>
  <c r="I107" i="2"/>
  <c r="I106" i="2" s="1"/>
  <c r="G135" i="2"/>
  <c r="G134" i="2" s="1"/>
  <c r="H135" i="2"/>
  <c r="H134" i="2" s="1"/>
  <c r="I135" i="2"/>
  <c r="I134" i="2" s="1"/>
  <c r="G164" i="2"/>
  <c r="H164" i="2"/>
  <c r="G173" i="2"/>
  <c r="G172" i="2" s="1"/>
  <c r="G171" i="2" s="1"/>
  <c r="H504" i="2"/>
  <c r="H201" i="2"/>
  <c r="H196" i="2" s="1"/>
  <c r="I201" i="2"/>
  <c r="I196" i="2" s="1"/>
  <c r="I302" i="2"/>
  <c r="H370" i="2"/>
  <c r="G389" i="2"/>
  <c r="H398" i="2"/>
  <c r="H404" i="2"/>
  <c r="G436" i="2"/>
  <c r="G432" i="2" s="1"/>
  <c r="G431" i="2" s="1"/>
  <c r="G266" i="2"/>
  <c r="I276" i="2"/>
  <c r="I266" i="2" s="1"/>
  <c r="H283" i="2"/>
  <c r="I329" i="2"/>
  <c r="G329" i="2"/>
  <c r="G340" i="2"/>
  <c r="I358" i="2"/>
  <c r="I416" i="2"/>
  <c r="I495" i="2"/>
  <c r="G495" i="2"/>
  <c r="H267" i="2"/>
  <c r="H266" i="2" s="1"/>
  <c r="G283" i="2"/>
  <c r="G295" i="2"/>
  <c r="G294" i="2" s="1"/>
  <c r="G293" i="2" s="1"/>
  <c r="I367" i="2"/>
  <c r="G373" i="2"/>
  <c r="H386" i="2"/>
  <c r="I395" i="2"/>
  <c r="G401" i="2"/>
  <c r="I539" i="1"/>
  <c r="H539" i="1"/>
  <c r="G539" i="1"/>
  <c r="G10" i="2" l="1"/>
  <c r="H10" i="2"/>
  <c r="G105" i="2"/>
  <c r="I105" i="2"/>
  <c r="I300" i="2"/>
  <c r="I292" i="2" s="1"/>
  <c r="I133" i="2"/>
  <c r="H133" i="2"/>
  <c r="H300" i="2"/>
  <c r="H292" i="2" s="1"/>
  <c r="G300" i="2"/>
  <c r="G292" i="2" s="1"/>
  <c r="G339" i="2"/>
  <c r="G324" i="2" s="1"/>
  <c r="H195" i="2"/>
  <c r="G195" i="2"/>
  <c r="G133" i="2"/>
  <c r="H105" i="2"/>
  <c r="I339" i="2"/>
  <c r="I324" i="2" s="1"/>
  <c r="I461" i="2"/>
  <c r="I445" i="2" s="1"/>
  <c r="I265" i="2"/>
  <c r="H339" i="2"/>
  <c r="H324" i="2" s="1"/>
  <c r="G461" i="2"/>
  <c r="G445" i="2" s="1"/>
  <c r="I195" i="2"/>
  <c r="H461" i="2"/>
  <c r="H445" i="2" s="1"/>
  <c r="H265" i="2"/>
  <c r="G265" i="2"/>
  <c r="I535" i="1"/>
  <c r="I534" i="1" s="1"/>
  <c r="I533" i="1" s="1"/>
  <c r="I532" i="1" s="1"/>
  <c r="H535" i="1"/>
  <c r="H534" i="1" s="1"/>
  <c r="H533" i="1" s="1"/>
  <c r="H532" i="1" s="1"/>
  <c r="G535" i="1"/>
  <c r="G534" i="1" s="1"/>
  <c r="G533" i="1" s="1"/>
  <c r="G532" i="1" s="1"/>
  <c r="I295" i="1"/>
  <c r="H295" i="1"/>
  <c r="G526" i="1"/>
  <c r="H514" i="1"/>
  <c r="I514" i="1"/>
  <c r="G514" i="1"/>
  <c r="H508" i="1"/>
  <c r="I508" i="1"/>
  <c r="G508" i="1"/>
  <c r="H503" i="1"/>
  <c r="I503" i="1"/>
  <c r="G503" i="1"/>
  <c r="I22" i="1"/>
  <c r="H22" i="1"/>
  <c r="G22" i="1"/>
  <c r="I14" i="1"/>
  <c r="H14" i="1"/>
  <c r="G14" i="1"/>
  <c r="I530" i="1"/>
  <c r="H530" i="1"/>
  <c r="G194" i="2" l="1"/>
  <c r="H194" i="2"/>
  <c r="H515" i="2" s="1"/>
  <c r="I194" i="2"/>
  <c r="I515" i="2" s="1"/>
  <c r="G515" i="2"/>
  <c r="H41" i="1"/>
  <c r="I41" i="1"/>
  <c r="G41" i="1"/>
  <c r="I75" i="1"/>
  <c r="H75" i="1"/>
  <c r="G75" i="1"/>
  <c r="I253" i="1"/>
  <c r="H253" i="1"/>
  <c r="G253" i="1"/>
  <c r="H204" i="1"/>
  <c r="I204" i="1"/>
  <c r="G204" i="1"/>
  <c r="I567" i="1"/>
  <c r="H567" i="1" l="1"/>
  <c r="H317" i="1"/>
  <c r="I317" i="1"/>
  <c r="G317" i="1"/>
  <c r="I307" i="1"/>
  <c r="H307" i="1"/>
  <c r="G307" i="1"/>
  <c r="G305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G265" i="1" l="1"/>
  <c r="I265" i="1"/>
  <c r="H265" i="1"/>
  <c r="H397" i="1" l="1"/>
  <c r="I397" i="1"/>
  <c r="G397" i="1"/>
  <c r="I391" i="1"/>
  <c r="H391" i="1"/>
  <c r="G391" i="1"/>
  <c r="I390" i="1"/>
  <c r="H390" i="1"/>
  <c r="G390" i="1"/>
  <c r="I386" i="1"/>
  <c r="H386" i="1"/>
  <c r="G386" i="1"/>
  <c r="I385" i="1"/>
  <c r="H385" i="1"/>
  <c r="G385" i="1"/>
  <c r="I375" i="1"/>
  <c r="H375" i="1"/>
  <c r="G375" i="1"/>
  <c r="I373" i="1"/>
  <c r="H373" i="1"/>
  <c r="G373" i="1"/>
  <c r="I372" i="1"/>
  <c r="H372" i="1"/>
  <c r="G372" i="1"/>
  <c r="I233" i="1"/>
  <c r="I232" i="1" s="1"/>
  <c r="H233" i="1"/>
  <c r="H232" i="1" s="1"/>
  <c r="G233" i="1"/>
  <c r="G232" i="1" s="1"/>
  <c r="I109" i="1"/>
  <c r="H109" i="1"/>
  <c r="G109" i="1"/>
  <c r="I57" i="1" l="1"/>
  <c r="H57" i="1"/>
  <c r="G57" i="1"/>
  <c r="I243" i="1"/>
  <c r="H243" i="1"/>
  <c r="G243" i="1"/>
  <c r="I40" i="1"/>
  <c r="H40" i="1"/>
  <c r="G40" i="1"/>
  <c r="I122" i="1" l="1"/>
  <c r="H122" i="1"/>
  <c r="G122" i="1"/>
  <c r="I121" i="1"/>
  <c r="H121" i="1"/>
  <c r="G121" i="1"/>
  <c r="I521" i="1"/>
  <c r="H521" i="1"/>
  <c r="G521" i="1"/>
  <c r="H526" i="1"/>
  <c r="I526" i="1"/>
  <c r="H53" i="1"/>
  <c r="I53" i="1"/>
  <c r="G53" i="1"/>
  <c r="H46" i="1"/>
  <c r="I46" i="1"/>
  <c r="G46" i="1"/>
  <c r="I524" i="1"/>
  <c r="H524" i="1"/>
  <c r="G524" i="1"/>
  <c r="I257" i="1"/>
  <c r="H257" i="1"/>
  <c r="G257" i="1"/>
  <c r="G39" i="1"/>
  <c r="I39" i="1"/>
  <c r="H39" i="1"/>
  <c r="I38" i="1"/>
  <c r="H38" i="1"/>
  <c r="G38" i="1"/>
  <c r="H593" i="1"/>
  <c r="I593" i="1"/>
  <c r="G593" i="1"/>
  <c r="H553" i="1"/>
  <c r="H552" i="1" s="1"/>
  <c r="I553" i="1"/>
  <c r="I552" i="1" s="1"/>
  <c r="G553" i="1"/>
  <c r="G552" i="1" s="1"/>
  <c r="I565" i="1"/>
  <c r="I564" i="1" s="1"/>
  <c r="H565" i="1"/>
  <c r="H564" i="1" s="1"/>
  <c r="G565" i="1"/>
  <c r="G564" i="1" s="1"/>
  <c r="I563" i="1"/>
  <c r="H563" i="1"/>
  <c r="G563" i="1"/>
  <c r="H561" i="1"/>
  <c r="I561" i="1"/>
  <c r="G561" i="1"/>
  <c r="I559" i="1"/>
  <c r="H559" i="1"/>
  <c r="G559" i="1"/>
  <c r="H557" i="1"/>
  <c r="H556" i="1" s="1"/>
  <c r="I557" i="1"/>
  <c r="I556" i="1" s="1"/>
  <c r="G557" i="1"/>
  <c r="G556" i="1" s="1"/>
  <c r="I555" i="1"/>
  <c r="H555" i="1"/>
  <c r="G555" i="1"/>
  <c r="G120" i="1" l="1"/>
  <c r="H120" i="1"/>
  <c r="I120" i="1"/>
  <c r="H550" i="1"/>
  <c r="I550" i="1"/>
  <c r="G550" i="1"/>
  <c r="I604" i="1"/>
  <c r="H604" i="1"/>
  <c r="G604" i="1"/>
  <c r="H602" i="1"/>
  <c r="I602" i="1"/>
  <c r="G602" i="1"/>
  <c r="I600" i="1" l="1"/>
  <c r="H600" i="1"/>
  <c r="G600" i="1"/>
  <c r="I569" i="1"/>
  <c r="H569" i="1"/>
  <c r="G569" i="1"/>
  <c r="G567" i="1"/>
  <c r="I571" i="1"/>
  <c r="H571" i="1"/>
  <c r="G571" i="1"/>
  <c r="I587" i="1" l="1"/>
  <c r="H587" i="1"/>
  <c r="G587" i="1"/>
  <c r="I591" i="1"/>
  <c r="H591" i="1"/>
  <c r="G591" i="1"/>
  <c r="I590" i="1"/>
  <c r="H590" i="1"/>
  <c r="G590" i="1"/>
  <c r="I589" i="1"/>
  <c r="H589" i="1"/>
  <c r="G589" i="1"/>
  <c r="I423" i="1"/>
  <c r="H423" i="1"/>
  <c r="G423" i="1"/>
  <c r="H597" i="1" l="1"/>
  <c r="I597" i="1"/>
  <c r="G597" i="1"/>
  <c r="I20" i="1"/>
  <c r="H20" i="1"/>
  <c r="G20" i="1"/>
  <c r="I18" i="1"/>
  <c r="H18" i="1"/>
  <c r="G18" i="1"/>
  <c r="I17" i="1"/>
  <c r="H17" i="1"/>
  <c r="G17" i="1"/>
  <c r="I44" i="1"/>
  <c r="H44" i="1"/>
  <c r="G44" i="1"/>
  <c r="I421" i="1"/>
  <c r="H421" i="1"/>
  <c r="G421" i="1"/>
  <c r="I420" i="1"/>
  <c r="H420" i="1"/>
  <c r="G420" i="1"/>
  <c r="I419" i="1"/>
  <c r="H419" i="1"/>
  <c r="G419" i="1"/>
  <c r="I498" i="1" l="1"/>
  <c r="H498" i="1"/>
  <c r="G498" i="1"/>
  <c r="I497" i="1"/>
  <c r="H497" i="1"/>
  <c r="G497" i="1"/>
  <c r="I408" i="1"/>
  <c r="I407" i="1" s="1"/>
  <c r="I406" i="1" s="1"/>
  <c r="H408" i="1"/>
  <c r="H407" i="1" s="1"/>
  <c r="H406" i="1" s="1"/>
  <c r="G408" i="1"/>
  <c r="G407" i="1" s="1"/>
  <c r="G406" i="1" s="1"/>
  <c r="I367" i="1" l="1"/>
  <c r="H367" i="1"/>
  <c r="G367" i="1"/>
  <c r="I354" i="1"/>
  <c r="H354" i="1"/>
  <c r="G354" i="1"/>
  <c r="I603" i="1" l="1"/>
  <c r="H603" i="1"/>
  <c r="G603" i="1"/>
  <c r="I601" i="1"/>
  <c r="H601" i="1"/>
  <c r="G601" i="1"/>
  <c r="I599" i="1"/>
  <c r="H599" i="1"/>
  <c r="G599" i="1"/>
  <c r="I596" i="1"/>
  <c r="I595" i="1" s="1"/>
  <c r="H596" i="1"/>
  <c r="H595" i="1" s="1"/>
  <c r="G596" i="1"/>
  <c r="G595" i="1" s="1"/>
  <c r="I592" i="1"/>
  <c r="H592" i="1"/>
  <c r="G592" i="1"/>
  <c r="I588" i="1"/>
  <c r="H588" i="1"/>
  <c r="G588" i="1"/>
  <c r="I586" i="1"/>
  <c r="H586" i="1"/>
  <c r="G586" i="1"/>
  <c r="I583" i="1"/>
  <c r="H583" i="1"/>
  <c r="G583" i="1"/>
  <c r="I581" i="1"/>
  <c r="H581" i="1"/>
  <c r="G581" i="1"/>
  <c r="I579" i="1"/>
  <c r="H579" i="1"/>
  <c r="G579" i="1"/>
  <c r="I577" i="1"/>
  <c r="H577" i="1"/>
  <c r="G577" i="1"/>
  <c r="I575" i="1"/>
  <c r="H575" i="1"/>
  <c r="G575" i="1"/>
  <c r="I572" i="1"/>
  <c r="H572" i="1"/>
  <c r="G572" i="1"/>
  <c r="I570" i="1"/>
  <c r="H570" i="1"/>
  <c r="G570" i="1"/>
  <c r="I568" i="1"/>
  <c r="H568" i="1"/>
  <c r="G568" i="1"/>
  <c r="I566" i="1"/>
  <c r="H566" i="1"/>
  <c r="G566" i="1"/>
  <c r="I562" i="1"/>
  <c r="H562" i="1"/>
  <c r="G562" i="1"/>
  <c r="I560" i="1"/>
  <c r="H560" i="1"/>
  <c r="G560" i="1"/>
  <c r="I558" i="1"/>
  <c r="H558" i="1"/>
  <c r="G558" i="1"/>
  <c r="I554" i="1"/>
  <c r="H554" i="1"/>
  <c r="G554" i="1"/>
  <c r="I549" i="1"/>
  <c r="I548" i="1" s="1"/>
  <c r="H549" i="1"/>
  <c r="H548" i="1" s="1"/>
  <c r="G549" i="1"/>
  <c r="G548" i="1" s="1"/>
  <c r="I545" i="1"/>
  <c r="H545" i="1"/>
  <c r="G545" i="1"/>
  <c r="I543" i="1"/>
  <c r="H543" i="1"/>
  <c r="G543" i="1"/>
  <c r="I541" i="1"/>
  <c r="H541" i="1"/>
  <c r="G541" i="1"/>
  <c r="I538" i="1"/>
  <c r="I537" i="1" s="1"/>
  <c r="H538" i="1"/>
  <c r="H537" i="1" s="1"/>
  <c r="G538" i="1"/>
  <c r="G537" i="1" s="1"/>
  <c r="I529" i="1"/>
  <c r="I528" i="1" s="1"/>
  <c r="I527" i="1" s="1"/>
  <c r="H529" i="1"/>
  <c r="H528" i="1" s="1"/>
  <c r="H527" i="1" s="1"/>
  <c r="I525" i="1"/>
  <c r="H525" i="1"/>
  <c r="G525" i="1"/>
  <c r="I523" i="1"/>
  <c r="H523" i="1"/>
  <c r="G523" i="1"/>
  <c r="I520" i="1"/>
  <c r="I519" i="1" s="1"/>
  <c r="H520" i="1"/>
  <c r="H519" i="1" s="1"/>
  <c r="G520" i="1"/>
  <c r="G519" i="1" s="1"/>
  <c r="I513" i="1"/>
  <c r="H513" i="1"/>
  <c r="G513" i="1"/>
  <c r="I512" i="1"/>
  <c r="H512" i="1"/>
  <c r="G512" i="1"/>
  <c r="I511" i="1"/>
  <c r="H511" i="1"/>
  <c r="G511" i="1"/>
  <c r="I506" i="1"/>
  <c r="H506" i="1"/>
  <c r="G506" i="1"/>
  <c r="I501" i="1"/>
  <c r="H501" i="1"/>
  <c r="G501" i="1"/>
  <c r="I500" i="1"/>
  <c r="H500" i="1"/>
  <c r="G500" i="1"/>
  <c r="I496" i="1"/>
  <c r="H496" i="1"/>
  <c r="G496" i="1"/>
  <c r="I495" i="1"/>
  <c r="I493" i="1" s="1"/>
  <c r="H495" i="1"/>
  <c r="H493" i="1" s="1"/>
  <c r="G495" i="1"/>
  <c r="G493" i="1" s="1"/>
  <c r="I492" i="1"/>
  <c r="I491" i="1" s="1"/>
  <c r="H492" i="1"/>
  <c r="H491" i="1" s="1"/>
  <c r="G492" i="1"/>
  <c r="G491" i="1" s="1"/>
  <c r="I489" i="1"/>
  <c r="H489" i="1"/>
  <c r="G489" i="1"/>
  <c r="I488" i="1"/>
  <c r="H488" i="1"/>
  <c r="G488" i="1"/>
  <c r="I486" i="1"/>
  <c r="H486" i="1"/>
  <c r="G486" i="1"/>
  <c r="I485" i="1"/>
  <c r="H485" i="1"/>
  <c r="G485" i="1"/>
  <c r="I483" i="1"/>
  <c r="H483" i="1"/>
  <c r="G483" i="1"/>
  <c r="I482" i="1"/>
  <c r="H482" i="1"/>
  <c r="G482" i="1"/>
  <c r="I480" i="1"/>
  <c r="H480" i="1"/>
  <c r="G480" i="1"/>
  <c r="I479" i="1"/>
  <c r="H479" i="1"/>
  <c r="G479" i="1"/>
  <c r="I477" i="1"/>
  <c r="H477" i="1"/>
  <c r="G477" i="1"/>
  <c r="I476" i="1"/>
  <c r="H476" i="1"/>
  <c r="G476" i="1"/>
  <c r="I474" i="1"/>
  <c r="H474" i="1"/>
  <c r="G474" i="1"/>
  <c r="I473" i="1"/>
  <c r="H473" i="1"/>
  <c r="G473" i="1"/>
  <c r="I469" i="1"/>
  <c r="H469" i="1"/>
  <c r="G469" i="1"/>
  <c r="I468" i="1"/>
  <c r="I467" i="1" s="1"/>
  <c r="H468" i="1"/>
  <c r="H467" i="1" s="1"/>
  <c r="G468" i="1"/>
  <c r="G467" i="1" s="1"/>
  <c r="G466" i="1"/>
  <c r="G465" i="1" s="1"/>
  <c r="I465" i="1"/>
  <c r="H465" i="1"/>
  <c r="I464" i="1"/>
  <c r="H464" i="1"/>
  <c r="G464" i="1"/>
  <c r="I463" i="1"/>
  <c r="H463" i="1"/>
  <c r="G463" i="1"/>
  <c r="I461" i="1"/>
  <c r="H461" i="1"/>
  <c r="G461" i="1"/>
  <c r="I460" i="1"/>
  <c r="H460" i="1"/>
  <c r="G460" i="1"/>
  <c r="I458" i="1"/>
  <c r="H458" i="1"/>
  <c r="G458" i="1"/>
  <c r="I457" i="1"/>
  <c r="H457" i="1"/>
  <c r="G457" i="1"/>
  <c r="I455" i="1"/>
  <c r="H455" i="1"/>
  <c r="G455" i="1"/>
  <c r="I454" i="1"/>
  <c r="H454" i="1"/>
  <c r="G454" i="1"/>
  <c r="I452" i="1"/>
  <c r="H452" i="1"/>
  <c r="G452" i="1"/>
  <c r="I451" i="1"/>
  <c r="H451" i="1"/>
  <c r="G451" i="1"/>
  <c r="I448" i="1"/>
  <c r="I447" i="1" s="1"/>
  <c r="H448" i="1"/>
  <c r="H447" i="1" s="1"/>
  <c r="G448" i="1"/>
  <c r="G447" i="1" s="1"/>
  <c r="I446" i="1"/>
  <c r="H446" i="1"/>
  <c r="G446" i="1"/>
  <c r="I445" i="1"/>
  <c r="H445" i="1"/>
  <c r="G445" i="1"/>
  <c r="I443" i="1"/>
  <c r="H443" i="1"/>
  <c r="G443" i="1"/>
  <c r="I442" i="1"/>
  <c r="H442" i="1"/>
  <c r="G442" i="1"/>
  <c r="I440" i="1"/>
  <c r="H440" i="1"/>
  <c r="G440" i="1"/>
  <c r="I439" i="1"/>
  <c r="H439" i="1"/>
  <c r="G439" i="1"/>
  <c r="I437" i="1"/>
  <c r="H437" i="1"/>
  <c r="G437" i="1"/>
  <c r="I436" i="1"/>
  <c r="H436" i="1"/>
  <c r="G436" i="1"/>
  <c r="I434" i="1"/>
  <c r="H434" i="1"/>
  <c r="G434" i="1"/>
  <c r="I433" i="1"/>
  <c r="H433" i="1"/>
  <c r="G433" i="1"/>
  <c r="I431" i="1"/>
  <c r="H431" i="1"/>
  <c r="G431" i="1"/>
  <c r="I430" i="1"/>
  <c r="H430" i="1"/>
  <c r="G430" i="1"/>
  <c r="I428" i="1"/>
  <c r="H428" i="1"/>
  <c r="G428" i="1"/>
  <c r="I427" i="1"/>
  <c r="H427" i="1"/>
  <c r="G427" i="1"/>
  <c r="I422" i="1"/>
  <c r="H422" i="1"/>
  <c r="G422" i="1"/>
  <c r="I418" i="1"/>
  <c r="H418" i="1"/>
  <c r="G418" i="1"/>
  <c r="I417" i="1"/>
  <c r="I416" i="1" s="1"/>
  <c r="H417" i="1"/>
  <c r="H416" i="1" s="1"/>
  <c r="G417" i="1"/>
  <c r="G416" i="1" s="1"/>
  <c r="I412" i="1"/>
  <c r="I411" i="1" s="1"/>
  <c r="H412" i="1"/>
  <c r="H411" i="1" s="1"/>
  <c r="G412" i="1"/>
  <c r="G411" i="1" s="1"/>
  <c r="I403" i="1"/>
  <c r="I402" i="1" s="1"/>
  <c r="I401" i="1" s="1"/>
  <c r="H403" i="1"/>
  <c r="H402" i="1" s="1"/>
  <c r="H401" i="1" s="1"/>
  <c r="G403" i="1"/>
  <c r="G402" i="1" s="1"/>
  <c r="G401" i="1" s="1"/>
  <c r="I393" i="1"/>
  <c r="H393" i="1"/>
  <c r="G393" i="1"/>
  <c r="I389" i="1"/>
  <c r="H389" i="1"/>
  <c r="G389" i="1"/>
  <c r="I387" i="1"/>
  <c r="H387" i="1"/>
  <c r="G387" i="1"/>
  <c r="I384" i="1"/>
  <c r="H384" i="1"/>
  <c r="G384" i="1"/>
  <c r="I382" i="1"/>
  <c r="H382" i="1"/>
  <c r="G382" i="1"/>
  <c r="I380" i="1"/>
  <c r="H380" i="1"/>
  <c r="G380" i="1"/>
  <c r="I378" i="1"/>
  <c r="H378" i="1"/>
  <c r="G378" i="1"/>
  <c r="I374" i="1"/>
  <c r="H374" i="1"/>
  <c r="G374" i="1"/>
  <c r="I371" i="1"/>
  <c r="H371" i="1"/>
  <c r="G371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0" i="1"/>
  <c r="I358" i="1" s="1"/>
  <c r="H360" i="1"/>
  <c r="H358" i="1" s="1"/>
  <c r="G360" i="1"/>
  <c r="G358" i="1" s="1"/>
  <c r="I355" i="1"/>
  <c r="H355" i="1"/>
  <c r="G355" i="1"/>
  <c r="I353" i="1"/>
  <c r="H353" i="1"/>
  <c r="G353" i="1"/>
  <c r="I352" i="1"/>
  <c r="H352" i="1"/>
  <c r="G352" i="1"/>
  <c r="I351" i="1"/>
  <c r="H351" i="1"/>
  <c r="G351" i="1"/>
  <c r="I349" i="1"/>
  <c r="I348" i="1" s="1"/>
  <c r="H349" i="1"/>
  <c r="H348" i="1" s="1"/>
  <c r="G349" i="1"/>
  <c r="G348" i="1" s="1"/>
  <c r="I347" i="1"/>
  <c r="I346" i="1" s="1"/>
  <c r="H347" i="1"/>
  <c r="H346" i="1" s="1"/>
  <c r="G347" i="1"/>
  <c r="G346" i="1" s="1"/>
  <c r="I345" i="1"/>
  <c r="I344" i="1" s="1"/>
  <c r="H345" i="1"/>
  <c r="H344" i="1" s="1"/>
  <c r="G345" i="1"/>
  <c r="G344" i="1" s="1"/>
  <c r="I343" i="1"/>
  <c r="H343" i="1"/>
  <c r="G343" i="1"/>
  <c r="I342" i="1"/>
  <c r="H342" i="1"/>
  <c r="G342" i="1"/>
  <c r="I334" i="1"/>
  <c r="H334" i="1"/>
  <c r="G334" i="1"/>
  <c r="I332" i="1"/>
  <c r="H332" i="1"/>
  <c r="G332" i="1"/>
  <c r="I329" i="1"/>
  <c r="H329" i="1"/>
  <c r="G329" i="1"/>
  <c r="I328" i="1"/>
  <c r="H328" i="1"/>
  <c r="G328" i="1"/>
  <c r="I327" i="1"/>
  <c r="H327" i="1"/>
  <c r="G327" i="1"/>
  <c r="I324" i="1"/>
  <c r="H324" i="1"/>
  <c r="G324" i="1"/>
  <c r="I321" i="1"/>
  <c r="H321" i="1"/>
  <c r="G321" i="1"/>
  <c r="I314" i="1"/>
  <c r="H314" i="1"/>
  <c r="G314" i="1"/>
  <c r="I312" i="1"/>
  <c r="H312" i="1"/>
  <c r="G312" i="1"/>
  <c r="I309" i="1"/>
  <c r="H309" i="1"/>
  <c r="G309" i="1"/>
  <c r="I300" i="1"/>
  <c r="H300" i="1"/>
  <c r="G300" i="1"/>
  <c r="I297" i="1"/>
  <c r="H297" i="1"/>
  <c r="G297" i="1"/>
  <c r="I296" i="1"/>
  <c r="H296" i="1"/>
  <c r="G296" i="1"/>
  <c r="G295" i="1"/>
  <c r="I290" i="1"/>
  <c r="H290" i="1"/>
  <c r="G290" i="1"/>
  <c r="I304" i="1"/>
  <c r="I303" i="1" s="1"/>
  <c r="H304" i="1"/>
  <c r="H303" i="1" s="1"/>
  <c r="G304" i="1"/>
  <c r="G303" i="1" s="1"/>
  <c r="I288" i="1"/>
  <c r="H288" i="1"/>
  <c r="G288" i="1"/>
  <c r="I285" i="1"/>
  <c r="H285" i="1"/>
  <c r="G285" i="1"/>
  <c r="I284" i="1"/>
  <c r="I282" i="1" s="1"/>
  <c r="H284" i="1"/>
  <c r="H282" i="1" s="1"/>
  <c r="G284" i="1"/>
  <c r="G282" i="1" s="1"/>
  <c r="I281" i="1"/>
  <c r="H281" i="1"/>
  <c r="G281" i="1"/>
  <c r="I280" i="1"/>
  <c r="H280" i="1"/>
  <c r="G280" i="1"/>
  <c r="I279" i="1"/>
  <c r="H279" i="1"/>
  <c r="G279" i="1"/>
  <c r="I275" i="1"/>
  <c r="I274" i="1" s="1"/>
  <c r="H275" i="1"/>
  <c r="H274" i="1" s="1"/>
  <c r="G275" i="1"/>
  <c r="G274" i="1" s="1"/>
  <c r="I270" i="1"/>
  <c r="H270" i="1"/>
  <c r="G270" i="1"/>
  <c r="I263" i="1"/>
  <c r="H263" i="1"/>
  <c r="G263" i="1"/>
  <c r="I262" i="1"/>
  <c r="H262" i="1"/>
  <c r="G262" i="1"/>
  <c r="I256" i="1"/>
  <c r="I255" i="1" s="1"/>
  <c r="H256" i="1"/>
  <c r="H255" i="1" s="1"/>
  <c r="G256" i="1"/>
  <c r="G255" i="1" s="1"/>
  <c r="I251" i="1"/>
  <c r="H251" i="1"/>
  <c r="G251" i="1"/>
  <c r="I247" i="1"/>
  <c r="H247" i="1"/>
  <c r="G247" i="1"/>
  <c r="I242" i="1"/>
  <c r="H242" i="1"/>
  <c r="G242" i="1"/>
  <c r="I238" i="1"/>
  <c r="H238" i="1"/>
  <c r="G238" i="1"/>
  <c r="I230" i="1"/>
  <c r="H230" i="1"/>
  <c r="G230" i="1"/>
  <c r="I228" i="1"/>
  <c r="H228" i="1"/>
  <c r="G228" i="1"/>
  <c r="I224" i="1"/>
  <c r="I223" i="1" s="1"/>
  <c r="I222" i="1" s="1"/>
  <c r="H224" i="1"/>
  <c r="H223" i="1" s="1"/>
  <c r="H222" i="1" s="1"/>
  <c r="G224" i="1"/>
  <c r="G223" i="1" s="1"/>
  <c r="G222" i="1" s="1"/>
  <c r="I220" i="1"/>
  <c r="H220" i="1"/>
  <c r="G220" i="1"/>
  <c r="I218" i="1"/>
  <c r="H218" i="1"/>
  <c r="G218" i="1"/>
  <c r="I212" i="1"/>
  <c r="H212" i="1"/>
  <c r="G212" i="1"/>
  <c r="I209" i="1"/>
  <c r="H209" i="1"/>
  <c r="G209" i="1"/>
  <c r="I207" i="1"/>
  <c r="H207" i="1"/>
  <c r="G207" i="1"/>
  <c r="I202" i="1"/>
  <c r="H202" i="1"/>
  <c r="G202" i="1"/>
  <c r="I200" i="1"/>
  <c r="H200" i="1"/>
  <c r="G200" i="1"/>
  <c r="I198" i="1"/>
  <c r="H198" i="1"/>
  <c r="G198" i="1"/>
  <c r="I192" i="1"/>
  <c r="I191" i="1" s="1"/>
  <c r="H192" i="1"/>
  <c r="H191" i="1" s="1"/>
  <c r="G192" i="1"/>
  <c r="G191" i="1" s="1"/>
  <c r="I189" i="1"/>
  <c r="I188" i="1" s="1"/>
  <c r="H189" i="1"/>
  <c r="H188" i="1" s="1"/>
  <c r="G189" i="1"/>
  <c r="G188" i="1" s="1"/>
  <c r="I186" i="1"/>
  <c r="H186" i="1"/>
  <c r="G186" i="1"/>
  <c r="I184" i="1"/>
  <c r="H184" i="1"/>
  <c r="G184" i="1"/>
  <c r="I181" i="1"/>
  <c r="H181" i="1"/>
  <c r="G181" i="1"/>
  <c r="I179" i="1"/>
  <c r="H179" i="1"/>
  <c r="G179" i="1"/>
  <c r="I174" i="1"/>
  <c r="I173" i="1" s="1"/>
  <c r="H174" i="1"/>
  <c r="H173" i="1" s="1"/>
  <c r="G174" i="1"/>
  <c r="G173" i="1" s="1"/>
  <c r="I171" i="1"/>
  <c r="H171" i="1"/>
  <c r="G171" i="1"/>
  <c r="I169" i="1"/>
  <c r="H169" i="1"/>
  <c r="G169" i="1"/>
  <c r="I167" i="1"/>
  <c r="H167" i="1"/>
  <c r="G167" i="1"/>
  <c r="I162" i="1"/>
  <c r="I161" i="1" s="1"/>
  <c r="I160" i="1" s="1"/>
  <c r="H162" i="1"/>
  <c r="H161" i="1" s="1"/>
  <c r="H160" i="1" s="1"/>
  <c r="G162" i="1"/>
  <c r="G161" i="1" s="1"/>
  <c r="G160" i="1" s="1"/>
  <c r="I157" i="1"/>
  <c r="I156" i="1" s="1"/>
  <c r="H157" i="1"/>
  <c r="H156" i="1" s="1"/>
  <c r="G157" i="1"/>
  <c r="G156" i="1" s="1"/>
  <c r="I154" i="1"/>
  <c r="H154" i="1"/>
  <c r="G154" i="1"/>
  <c r="I152" i="1"/>
  <c r="H152" i="1"/>
  <c r="G152" i="1"/>
  <c r="I150" i="1"/>
  <c r="H150" i="1"/>
  <c r="G150" i="1"/>
  <c r="I148" i="1"/>
  <c r="H148" i="1"/>
  <c r="G148" i="1"/>
  <c r="I146" i="1"/>
  <c r="H146" i="1"/>
  <c r="G146" i="1"/>
  <c r="I144" i="1"/>
  <c r="H144" i="1"/>
  <c r="G144" i="1"/>
  <c r="I142" i="1"/>
  <c r="H142" i="1"/>
  <c r="G142" i="1"/>
  <c r="I140" i="1"/>
  <c r="H140" i="1"/>
  <c r="G140" i="1"/>
  <c r="I138" i="1"/>
  <c r="H138" i="1"/>
  <c r="G138" i="1"/>
  <c r="I134" i="1"/>
  <c r="H134" i="1"/>
  <c r="G134" i="1"/>
  <c r="I132" i="1"/>
  <c r="H132" i="1"/>
  <c r="G132" i="1"/>
  <c r="I128" i="1"/>
  <c r="I127" i="1" s="1"/>
  <c r="H128" i="1"/>
  <c r="H127" i="1" s="1"/>
  <c r="G128" i="1"/>
  <c r="G127" i="1" s="1"/>
  <c r="I125" i="1"/>
  <c r="I124" i="1" s="1"/>
  <c r="H125" i="1"/>
  <c r="H124" i="1" s="1"/>
  <c r="G125" i="1"/>
  <c r="G124" i="1" s="1"/>
  <c r="I119" i="1"/>
  <c r="I118" i="1" s="1"/>
  <c r="H119" i="1"/>
  <c r="H118" i="1" s="1"/>
  <c r="G119" i="1"/>
  <c r="G118" i="1" s="1"/>
  <c r="I116" i="1"/>
  <c r="H116" i="1"/>
  <c r="G116" i="1"/>
  <c r="I113" i="1"/>
  <c r="H113" i="1"/>
  <c r="G113" i="1"/>
  <c r="I111" i="1"/>
  <c r="H111" i="1"/>
  <c r="G111" i="1"/>
  <c r="I107" i="1"/>
  <c r="H107" i="1"/>
  <c r="G107" i="1"/>
  <c r="I105" i="1"/>
  <c r="H105" i="1"/>
  <c r="G105" i="1"/>
  <c r="I103" i="1"/>
  <c r="H103" i="1"/>
  <c r="G103" i="1"/>
  <c r="I136" i="1"/>
  <c r="H136" i="1"/>
  <c r="G136" i="1"/>
  <c r="I99" i="1"/>
  <c r="H99" i="1"/>
  <c r="G99" i="1"/>
  <c r="I97" i="1"/>
  <c r="H97" i="1"/>
  <c r="G97" i="1"/>
  <c r="I95" i="1"/>
  <c r="H95" i="1"/>
  <c r="G95" i="1"/>
  <c r="I93" i="1"/>
  <c r="H93" i="1"/>
  <c r="G93" i="1"/>
  <c r="I91" i="1"/>
  <c r="H91" i="1"/>
  <c r="G91" i="1"/>
  <c r="I89" i="1"/>
  <c r="H89" i="1"/>
  <c r="G89" i="1"/>
  <c r="I87" i="1"/>
  <c r="H87" i="1"/>
  <c r="G87" i="1"/>
  <c r="I85" i="1"/>
  <c r="H85" i="1"/>
  <c r="G85" i="1"/>
  <c r="I83" i="1"/>
  <c r="H83" i="1"/>
  <c r="G83" i="1"/>
  <c r="I81" i="1"/>
  <c r="H81" i="1"/>
  <c r="G81" i="1"/>
  <c r="I79" i="1"/>
  <c r="H79" i="1"/>
  <c r="G79" i="1"/>
  <c r="I77" i="1"/>
  <c r="H77" i="1"/>
  <c r="G77" i="1"/>
  <c r="I73" i="1"/>
  <c r="H73" i="1"/>
  <c r="G73" i="1"/>
  <c r="I70" i="1"/>
  <c r="I69" i="1" s="1"/>
  <c r="H70" i="1"/>
  <c r="H69" i="1" s="1"/>
  <c r="G70" i="1"/>
  <c r="G69" i="1" s="1"/>
  <c r="I66" i="1"/>
  <c r="H66" i="1"/>
  <c r="G66" i="1"/>
  <c r="I64" i="1"/>
  <c r="H64" i="1"/>
  <c r="G64" i="1"/>
  <c r="I62" i="1"/>
  <c r="H62" i="1"/>
  <c r="G62" i="1"/>
  <c r="I60" i="1"/>
  <c r="H60" i="1"/>
  <c r="G60" i="1"/>
  <c r="I56" i="1"/>
  <c r="H56" i="1"/>
  <c r="G56" i="1"/>
  <c r="I52" i="1"/>
  <c r="H52" i="1"/>
  <c r="G52" i="1"/>
  <c r="I49" i="1"/>
  <c r="H49" i="1"/>
  <c r="G49" i="1"/>
  <c r="I47" i="1"/>
  <c r="H47" i="1"/>
  <c r="G47" i="1"/>
  <c r="I45" i="1"/>
  <c r="H45" i="1"/>
  <c r="G45" i="1"/>
  <c r="I43" i="1"/>
  <c r="H43" i="1"/>
  <c r="G43" i="1"/>
  <c r="I37" i="1"/>
  <c r="H37" i="1"/>
  <c r="G37" i="1"/>
  <c r="I35" i="1"/>
  <c r="H35" i="1"/>
  <c r="G35" i="1"/>
  <c r="I32" i="1"/>
  <c r="I31" i="1" s="1"/>
  <c r="H32" i="1"/>
  <c r="H31" i="1" s="1"/>
  <c r="G32" i="1"/>
  <c r="G31" i="1" s="1"/>
  <c r="I29" i="1"/>
  <c r="I28" i="1" s="1"/>
  <c r="H29" i="1"/>
  <c r="H28" i="1" s="1"/>
  <c r="G29" i="1"/>
  <c r="G28" i="1" s="1"/>
  <c r="I25" i="1"/>
  <c r="H25" i="1"/>
  <c r="G25" i="1"/>
  <c r="I21" i="1"/>
  <c r="H21" i="1"/>
  <c r="G21" i="1"/>
  <c r="I19" i="1"/>
  <c r="H19" i="1"/>
  <c r="G19" i="1"/>
  <c r="I16" i="1"/>
  <c r="H16" i="1"/>
  <c r="G16" i="1"/>
  <c r="I13" i="1"/>
  <c r="I12" i="1" s="1"/>
  <c r="H13" i="1"/>
  <c r="H12" i="1" s="1"/>
  <c r="G13" i="1"/>
  <c r="G12" i="1" s="1"/>
  <c r="H166" i="1" l="1"/>
  <c r="G166" i="1"/>
  <c r="I166" i="1"/>
  <c r="I370" i="1"/>
  <c r="I369" i="1" s="1"/>
  <c r="G370" i="1"/>
  <c r="H370" i="1"/>
  <c r="H55" i="1"/>
  <c r="G55" i="1"/>
  <c r="G54" i="1" s="1"/>
  <c r="I55" i="1"/>
  <c r="I54" i="1" s="1"/>
  <c r="H34" i="1"/>
  <c r="H462" i="1"/>
  <c r="I472" i="1"/>
  <c r="G481" i="1"/>
  <c r="H487" i="1"/>
  <c r="I34" i="1"/>
  <c r="G34" i="1"/>
  <c r="G450" i="1"/>
  <c r="G510" i="1"/>
  <c r="G502" i="1" s="1"/>
  <c r="G361" i="1"/>
  <c r="I341" i="1"/>
  <c r="G426" i="1"/>
  <c r="G432" i="1"/>
  <c r="G341" i="1"/>
  <c r="G540" i="1"/>
  <c r="G536" i="1" s="1"/>
  <c r="I540" i="1"/>
  <c r="I536" i="1" s="1"/>
  <c r="H341" i="1"/>
  <c r="H102" i="1"/>
  <c r="H101" i="1" s="1"/>
  <c r="G484" i="1"/>
  <c r="G462" i="1"/>
  <c r="I102" i="1"/>
  <c r="I101" i="1" s="1"/>
  <c r="G102" i="1"/>
  <c r="G101" i="1" s="1"/>
  <c r="H456" i="1"/>
  <c r="G392" i="1"/>
  <c r="I217" i="1"/>
  <c r="I216" i="1" s="1"/>
  <c r="H261" i="1"/>
  <c r="H260" i="1" s="1"/>
  <c r="G444" i="1"/>
  <c r="H432" i="1"/>
  <c r="H429" i="1"/>
  <c r="G435" i="1"/>
  <c r="H444" i="1"/>
  <c r="G522" i="1"/>
  <c r="G518" i="1" s="1"/>
  <c r="G517" i="1" s="1"/>
  <c r="G551" i="1"/>
  <c r="G472" i="1"/>
  <c r="H551" i="1"/>
  <c r="I178" i="1"/>
  <c r="I177" i="1" s="1"/>
  <c r="H178" i="1"/>
  <c r="H177" i="1" s="1"/>
  <c r="G197" i="1"/>
  <c r="G196" i="1" s="1"/>
  <c r="G326" i="1"/>
  <c r="G306" i="1" s="1"/>
  <c r="G441" i="1"/>
  <c r="H475" i="1"/>
  <c r="G217" i="1"/>
  <c r="G216" i="1" s="1"/>
  <c r="G294" i="1"/>
  <c r="H350" i="1"/>
  <c r="I377" i="1"/>
  <c r="G377" i="1"/>
  <c r="H377" i="1"/>
  <c r="I429" i="1"/>
  <c r="I435" i="1"/>
  <c r="H438" i="1"/>
  <c r="H453" i="1"/>
  <c r="G475" i="1"/>
  <c r="I478" i="1"/>
  <c r="I487" i="1"/>
  <c r="I551" i="1"/>
  <c r="H197" i="1"/>
  <c r="H196" i="1" s="1"/>
  <c r="I350" i="1"/>
  <c r="I450" i="1"/>
  <c r="I456" i="1"/>
  <c r="I475" i="1"/>
  <c r="G478" i="1"/>
  <c r="H481" i="1"/>
  <c r="I481" i="1"/>
  <c r="G487" i="1"/>
  <c r="G499" i="1"/>
  <c r="G490" i="1" s="1"/>
  <c r="I510" i="1"/>
  <c r="I502" i="1" s="1"/>
  <c r="H522" i="1"/>
  <c r="H518" i="1" s="1"/>
  <c r="H517" i="1" s="1"/>
  <c r="G598" i="1"/>
  <c r="G594" i="1" s="1"/>
  <c r="H165" i="1"/>
  <c r="I165" i="1"/>
  <c r="H361" i="1"/>
  <c r="H357" i="1" s="1"/>
  <c r="H72" i="1"/>
  <c r="H68" i="1" s="1"/>
  <c r="H237" i="1"/>
  <c r="H236" i="1" s="1"/>
  <c r="H235" i="1" s="1"/>
  <c r="I261" i="1"/>
  <c r="I260" i="1" s="1"/>
  <c r="I392" i="1"/>
  <c r="I426" i="1"/>
  <c r="G429" i="1"/>
  <c r="H441" i="1"/>
  <c r="I441" i="1"/>
  <c r="I453" i="1"/>
  <c r="I459" i="1"/>
  <c r="I462" i="1"/>
  <c r="H499" i="1"/>
  <c r="H490" i="1" s="1"/>
  <c r="G453" i="1"/>
  <c r="H478" i="1"/>
  <c r="I499" i="1"/>
  <c r="I490" i="1" s="1"/>
  <c r="I574" i="1"/>
  <c r="G574" i="1"/>
  <c r="G357" i="1"/>
  <c r="H415" i="1"/>
  <c r="G15" i="1"/>
  <c r="I72" i="1"/>
  <c r="I68" i="1" s="1"/>
  <c r="H131" i="1"/>
  <c r="H130" i="1" s="1"/>
  <c r="I227" i="1"/>
  <c r="I226" i="1" s="1"/>
  <c r="I246" i="1"/>
  <c r="I245" i="1" s="1"/>
  <c r="I244" i="1" s="1"/>
  <c r="H426" i="1"/>
  <c r="I438" i="1"/>
  <c r="G459" i="1"/>
  <c r="H472" i="1"/>
  <c r="H574" i="1"/>
  <c r="H123" i="1"/>
  <c r="G131" i="1"/>
  <c r="G130" i="1" s="1"/>
  <c r="I237" i="1"/>
  <c r="I236" i="1" s="1"/>
  <c r="I235" i="1" s="1"/>
  <c r="G246" i="1"/>
  <c r="G245" i="1" s="1"/>
  <c r="G244" i="1" s="1"/>
  <c r="H294" i="1"/>
  <c r="H326" i="1"/>
  <c r="H306" i="1" s="1"/>
  <c r="H54" i="1"/>
  <c r="G123" i="1"/>
  <c r="I131" i="1"/>
  <c r="I130" i="1" s="1"/>
  <c r="H217" i="1"/>
  <c r="H216" i="1" s="1"/>
  <c r="G227" i="1"/>
  <c r="G226" i="1" s="1"/>
  <c r="H278" i="1"/>
  <c r="I278" i="1"/>
  <c r="G350" i="1"/>
  <c r="G369" i="1"/>
  <c r="G438" i="1"/>
  <c r="I444" i="1"/>
  <c r="H450" i="1"/>
  <c r="G456" i="1"/>
  <c r="H459" i="1"/>
  <c r="I484" i="1"/>
  <c r="I123" i="1"/>
  <c r="G178" i="1"/>
  <c r="G177" i="1" s="1"/>
  <c r="H246" i="1"/>
  <c r="H245" i="1" s="1"/>
  <c r="H244" i="1" s="1"/>
  <c r="I326" i="1"/>
  <c r="I306" i="1" s="1"/>
  <c r="H369" i="1"/>
  <c r="G415" i="1"/>
  <c r="I522" i="1"/>
  <c r="I518" i="1" s="1"/>
  <c r="I517" i="1" s="1"/>
  <c r="I598" i="1"/>
  <c r="I594" i="1" s="1"/>
  <c r="H15" i="1"/>
  <c r="G165" i="1"/>
  <c r="G278" i="1"/>
  <c r="I294" i="1"/>
  <c r="G72" i="1"/>
  <c r="G68" i="1" s="1"/>
  <c r="I197" i="1"/>
  <c r="I196" i="1" s="1"/>
  <c r="G237" i="1"/>
  <c r="G236" i="1" s="1"/>
  <c r="G235" i="1" s="1"/>
  <c r="G261" i="1"/>
  <c r="G260" i="1" s="1"/>
  <c r="I361" i="1"/>
  <c r="I357" i="1" s="1"/>
  <c r="H392" i="1"/>
  <c r="I432" i="1"/>
  <c r="H435" i="1"/>
  <c r="H484" i="1"/>
  <c r="H510" i="1"/>
  <c r="H502" i="1" s="1"/>
  <c r="H540" i="1"/>
  <c r="H536" i="1" s="1"/>
  <c r="G585" i="1"/>
  <c r="H585" i="1"/>
  <c r="H227" i="1"/>
  <c r="H226" i="1" s="1"/>
  <c r="H598" i="1"/>
  <c r="H594" i="1" s="1"/>
  <c r="I585" i="1"/>
  <c r="I415" i="1"/>
  <c r="I15" i="1"/>
  <c r="G273" i="1" l="1"/>
  <c r="H273" i="1"/>
  <c r="H340" i="1"/>
  <c r="H339" i="1" s="1"/>
  <c r="I273" i="1"/>
  <c r="I259" i="1" s="1"/>
  <c r="G259" i="1"/>
  <c r="H259" i="1"/>
  <c r="I340" i="1"/>
  <c r="I339" i="1" s="1"/>
  <c r="I11" i="1"/>
  <c r="I10" i="1" s="1"/>
  <c r="I164" i="1"/>
  <c r="G376" i="1"/>
  <c r="G368" i="1" s="1"/>
  <c r="G11" i="1"/>
  <c r="G10" i="1" s="1"/>
  <c r="G195" i="1"/>
  <c r="H376" i="1"/>
  <c r="H368" i="1" s="1"/>
  <c r="H547" i="1"/>
  <c r="H531" i="1" s="1"/>
  <c r="H164" i="1"/>
  <c r="G425" i="1"/>
  <c r="G410" i="1" s="1"/>
  <c r="G405" i="1" s="1"/>
  <c r="I376" i="1"/>
  <c r="I368" i="1" s="1"/>
  <c r="I195" i="1"/>
  <c r="G340" i="1"/>
  <c r="G339" i="1" s="1"/>
  <c r="H195" i="1"/>
  <c r="H425" i="1"/>
  <c r="H410" i="1" s="1"/>
  <c r="H405" i="1" s="1"/>
  <c r="I425" i="1"/>
  <c r="I410" i="1" s="1"/>
  <c r="I405" i="1" s="1"/>
  <c r="H11" i="1"/>
  <c r="H10" i="1" s="1"/>
  <c r="I547" i="1"/>
  <c r="I531" i="1" s="1"/>
  <c r="G547" i="1"/>
  <c r="G531" i="1" s="1"/>
  <c r="G164" i="1"/>
  <c r="I258" i="1" l="1"/>
  <c r="H258" i="1"/>
  <c r="H605" i="1" s="1"/>
  <c r="I605" i="1"/>
  <c r="G258" i="1"/>
  <c r="G605" i="1" s="1"/>
  <c r="G606" i="1" l="1"/>
  <c r="H606" i="1"/>
  <c r="I606" i="1"/>
  <c r="H607" i="1" l="1"/>
  <c r="I607" i="1"/>
  <c r="G607" i="1"/>
</calcChain>
</file>

<file path=xl/sharedStrings.xml><?xml version="1.0" encoding="utf-8"?>
<sst xmlns="http://schemas.openxmlformats.org/spreadsheetml/2006/main" count="4694" uniqueCount="464">
  <si>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</si>
  <si>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</si>
  <si>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</si>
  <si>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</si>
  <si>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</si>
  <si>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</si>
  <si>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 xml:space="preserve"> 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</si>
  <si>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</si>
  <si>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</si>
  <si>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</si>
  <si>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</si>
  <si>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</si>
  <si>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</si>
  <si>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</si>
  <si>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</si>
  <si>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</si>
  <si>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</si>
  <si>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</si>
  <si>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</si>
  <si>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</si>
  <si>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</si>
  <si>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</si>
  <si>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</si>
  <si>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</si>
  <si>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</si>
  <si>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</si>
  <si>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</si>
  <si>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</si>
  <si>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</si>
  <si>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</si>
  <si>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</si>
  <si>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</si>
  <si>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</si>
  <si>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</si>
  <si>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</si>
  <si>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</si>
  <si>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</si>
  <si>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</si>
  <si>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</si>
  <si>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</si>
  <si>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</si>
  <si>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</si>
  <si>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</si>
  <si>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</si>
  <si>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</si>
  <si>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</si>
  <si>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</si>
  <si>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</si>
  <si>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Финансовое управление города Анжеро-Судженска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</si>
  <si>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</si>
  <si>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</si>
  <si>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</si>
  <si>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</si>
  <si>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</si>
  <si>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</si>
  <si>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</si>
  <si>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</si>
  <si>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</si>
  <si>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</si>
  <si>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</si>
  <si>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</si>
  <si>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</si>
  <si>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</si>
  <si>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</si>
  <si>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</si>
  <si>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</si>
  <si>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</si>
  <si>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</si>
  <si>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</si>
  <si>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</si>
  <si>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</si>
  <si>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</si>
  <si>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</si>
  <si>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</si>
  <si>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</si>
  <si>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</si>
  <si>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</si>
  <si>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</si>
  <si>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</si>
  <si>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</si>
  <si>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</si>
  <si>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Е.Н. Зачиняева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</si>
  <si>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</si>
  <si>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</si>
  <si>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</si>
  <si>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Судебная система</t>
  </si>
  <si>
    <t xml:space="preserve">Ведомственная структура расходов бюджета муниципального образования "Анжеро-Судженский городской округ" </t>
  </si>
  <si>
    <t>Приложение 6</t>
  </si>
  <si>
    <t>05 2 00 72010</t>
  </si>
  <si>
    <t>06 0 00 51440</t>
  </si>
  <si>
    <t>Стационарная медицинская помощь</t>
  </si>
  <si>
    <t>Амбулаторная помощь</t>
  </si>
  <si>
    <t>Здравоохранение</t>
  </si>
  <si>
    <t>07 1 00 72410</t>
  </si>
  <si>
    <t>07 1 00 72430</t>
  </si>
  <si>
    <t>04 1 00 50820</t>
  </si>
  <si>
    <t>01 4 00 79050</t>
  </si>
  <si>
    <t>01 5 00 79060</t>
  </si>
  <si>
    <t>01 5 00 71960</t>
  </si>
  <si>
    <t>04 1 00 51350</t>
  </si>
  <si>
    <t>04 3 00 51560</t>
  </si>
  <si>
    <t>99 0 00 51200</t>
  </si>
  <si>
    <t>99  0 00 51200</t>
  </si>
  <si>
    <t>10 5 00 71140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</si>
  <si>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</si>
  <si>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</si>
  <si>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</si>
  <si>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</si>
  <si>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</si>
  <si>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</si>
  <si>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</si>
  <si>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</si>
  <si>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</si>
  <si>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</si>
  <si>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</si>
  <si>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</si>
  <si>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</si>
  <si>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</si>
  <si>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</si>
  <si>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</si>
  <si>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</si>
  <si>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08 6 00 70040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</si>
  <si>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</si>
  <si>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</si>
  <si>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</si>
  <si>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</si>
  <si>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</si>
  <si>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</si>
  <si>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</si>
  <si>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</si>
  <si>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</si>
  <si>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</si>
  <si>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</si>
  <si>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</si>
  <si>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</si>
  <si>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</si>
  <si>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</si>
  <si>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</si>
  <si>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</si>
  <si>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</si>
  <si>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</si>
  <si>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</si>
  <si>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</si>
  <si>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</si>
  <si>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</si>
  <si>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</si>
  <si>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</si>
  <si>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</si>
  <si>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08 6 00 R0840</t>
  </si>
  <si>
    <t>14 0 00 L0640</t>
  </si>
  <si>
    <t>04 2 00 L0200</t>
  </si>
  <si>
    <t>Закупка товаров, работ и услуг для обеспечения государственных (муниципальных) нужд</t>
  </si>
  <si>
    <t>05 1 00 71940</t>
  </si>
  <si>
    <t>06 0 00 70420</t>
  </si>
  <si>
    <t>05 1 00 71930</t>
  </si>
  <si>
    <t>05 2 00 72000</t>
  </si>
  <si>
    <t>04 3 00 S9602</t>
  </si>
  <si>
    <t>05 2 00 70490</t>
  </si>
  <si>
    <t>99 0 00 53910</t>
  </si>
  <si>
    <t xml:space="preserve">99 0 00 53910 </t>
  </si>
  <si>
    <t>Обеспечение проведения выборов и референдумов</t>
  </si>
  <si>
    <t>04 1 00 51340</t>
  </si>
  <si>
    <t>04 3 00 71670</t>
  </si>
  <si>
    <t>07 2 00 73220</t>
  </si>
  <si>
    <t>на 2017 год и на плановый период 2018 и 2019 годов</t>
  </si>
  <si>
    <t xml:space="preserve">от  ______________2016г.  № _____  </t>
  </si>
  <si>
    <t>2017 год</t>
  </si>
  <si>
    <t>2018 год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</si>
  <si>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</si>
  <si>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</si>
  <si>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</si>
  <si>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Повышение эффективности деятельности органа местного самоуправления (Глава)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</si>
  <si>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</si>
  <si>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</si>
  <si>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</si>
  <si>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Повышение эффективности деятельности органа местного самоуправления (аппарат)</t>
  </si>
  <si>
    <t>Повышение эффективности деятельности органа местного самоуправления (АХО)</t>
  </si>
  <si>
    <t>01 1 00 11031</t>
  </si>
  <si>
    <t>Составление (изменение) списков кандидатов в присяжные заседатели федеральных судов общей юрисдикции</t>
  </si>
  <si>
    <t>Проведение выборов в представительные органы муниципального образования</t>
  </si>
  <si>
    <t xml:space="preserve">99 0 00 20001 </t>
  </si>
  <si>
    <t>Проведение Всероссийской сельскохозяйственной переписи в 2016 году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</si>
  <si>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</si>
  <si>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</si>
  <si>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</si>
  <si>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</si>
  <si>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</si>
  <si>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</si>
  <si>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</si>
  <si>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</si>
  <si>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</si>
  <si>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</si>
  <si>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</si>
  <si>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</si>
  <si>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</si>
  <si>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03 1 00 13002</t>
  </si>
  <si>
    <t>Создание и развитие АПК "Безопасный город"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</si>
  <si>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</si>
  <si>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</si>
  <si>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</si>
  <si>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</si>
  <si>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</si>
  <si>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</si>
  <si>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Материальное стимулирование деятельности добровольных пожарных</t>
  </si>
  <si>
    <t>03 2 00 13701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</si>
  <si>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</si>
  <si>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</si>
  <si>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</si>
  <si>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Реализация программ местного развития и обеспечение занятости для шахтерских городов и поселков</t>
  </si>
  <si>
    <t>04 6 00 00011</t>
  </si>
  <si>
    <t>Строительство и реконструкция объектов систем водоснабжения и водоотведения за счет средств, поступивших от некоммерческой организации "Фонд развития моногородов" (строительство водовода диаметром 500 мм по объекту "Строительство в Восточном жилом районе г. Анжеро-Судженска")</t>
  </si>
  <si>
    <t>04 6 00 00012</t>
  </si>
  <si>
    <t>Строительство и реконструкция объектов систем водоснабжения и водоотведения за счет средств, поступивших от некоммерческой организации "Фонд развития моногородов" (реконструкция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Анжеро-Судженске)</t>
  </si>
  <si>
    <t>04 6 00 00023</t>
  </si>
  <si>
    <t>Строительство и реконструкция объектов системы электроснабжения за счет средств, поступивших от некоммерческой организации "Фонд развития моногородов" (строительство воздушной линии электропередач ВЛ-110 кВ от ВЛ-110 кВ Ново-Анжерская - Анжерская НПС 1, 2 с отпайкой на ПС Судженская до ПС-110 кВ "Мазутная")</t>
  </si>
  <si>
    <t>04 6 00 00024</t>
  </si>
  <si>
    <t>Строительство и реконструкция объектов системы электроснабжения за счет средств, поступивших от некоммерческой организации "Фонд развития моногородов" (Строительство подстанции ПС 110/6 кВ "Мазутная")</t>
  </si>
  <si>
    <t>04 6 00 72911</t>
  </si>
  <si>
    <t>Строительство и реконструкция объектов систем водоснабжения и водоотведения (строительство водовода диаметром 500 мм по объекту "Строительство в Восточном жилом районе г. Анжеро-Судженска")</t>
  </si>
  <si>
    <t>04 6 00 72912</t>
  </si>
  <si>
    <t>Строительство и реконструкция объектов систем водоснабжения и водоотведения (реконструкция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Анжеро-Судженске)</t>
  </si>
  <si>
    <t>04 6 00 72923</t>
  </si>
  <si>
    <t>Строительство и реконструкция объектов систем электроснабжения (строительство воздушной линии электропередач ВЛ-110 кВ от ВЛ-110 кВ Ново-Анжерская - Анжерская НПС 1, 2 с отпайкой на ПС Судженская до ПС-110 кВ "Мазутная")</t>
  </si>
  <si>
    <t>04 6 00 72924</t>
  </si>
  <si>
    <t>Строительство и реконструкция объектов систем электроснабжения (Строительство подстанции ПС 110/6 кВ "Мазутная" )</t>
  </si>
  <si>
    <t>04 6 00 11003</t>
  </si>
  <si>
    <t>04 6 00 12002</t>
  </si>
  <si>
    <t>04 6 00 13004</t>
  </si>
  <si>
    <t>04 6 00 14003</t>
  </si>
  <si>
    <t>Строительство водовода диаметром 500 мм по объекту "Строительство в Восточном жилом районе г. Анжеро-Судженска"</t>
  </si>
  <si>
    <t>Реконструкция и строительство магистрального водопровода от водопроводного колодца, сооружаемого на водопроводе диаметром 400 мм "ул. Магистральная - Насосная", в районе ул. Кедровая, до территорий предприятий ЗАО "Анжерский фанерный комбинат", ООО НПЗ "Северный Кузбасс" в г. Анжеро-Судженске=</t>
  </si>
  <si>
    <t>Строительство воздушной линии электропередач ВЛ-110 кВ от ВЛ-110 кВ Ново-Анжерская - Анжерская НПС 1,2 с отпайкой на ПС Судженская до ПС-110 кВ "Мазутная"</t>
  </si>
  <si>
    <t>Строительство подстанции ПС 110/6 кВ "Мазутная"</t>
  </si>
  <si>
    <t>Обеспечение жильем социально незащищенных категорий граждан, установленных законодательством Кемеровской области</t>
  </si>
  <si>
    <t>04 1 00 11501</t>
  </si>
  <si>
    <t>Переселение граждан из аварийного жилищного фонда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</si>
  <si>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</si>
  <si>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04 3 00 14151</t>
  </si>
  <si>
    <t>Проведение обследования ветхого и аварийного муниципального жилого фонда, снос ветхого жилья</t>
  </si>
  <si>
    <t>04 3 00 11181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</si>
  <si>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</si>
  <si>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</si>
  <si>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</si>
  <si>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</si>
  <si>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</si>
  <si>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</si>
  <si>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</si>
  <si>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08 3 00 14901</t>
  </si>
  <si>
    <t>Обеспечение беспрепятственного доступа инвалидов, детей-инвалидов и маломобильных групп населения в учреждениях здравоохранения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</si>
  <si>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</si>
  <si>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</si>
  <si>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</si>
  <si>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</si>
  <si>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Выделение социальной выплаты и привлечение внебюджетных источников</t>
  </si>
  <si>
    <t>Осуществление мер социальной поддержки граждан, имеющих почетные звания, в соответствии с Законом Кемеровской области от 17 февраля 2004 года № 7-ОЗ "О здравоохранении"</t>
  </si>
  <si>
    <t>Обеспечение лекарственными средствами, предоставляемыми по рецептам врачей, детей-сирот и детей, оставшихся без попечения родителей, в возрасте до 6 лет, находящихся под опекой, в приемной семье,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</si>
  <si>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Ежемесячное обеспечение детей, страдающих онкологическими заболеваниями, денежной выплатой в соответствии с Законом Кемеровской области от 10 декабря 2007 года № 150-ОЗ "О мере социальной поддержки детей, страдающих онкологическими заболеваниями"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</si>
  <si>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</si>
  <si>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 в соответствии с Законом 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</si>
  <si>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</si>
  <si>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</si>
  <si>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</si>
  <si>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</si>
  <si>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</si>
  <si>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</si>
  <si>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</si>
  <si>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</si>
  <si>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05 1 00 15231</t>
  </si>
  <si>
    <t>Развитие физической культуры и детско-юношеского спорта в Анжеро-Судженском городском округе (УДО)</t>
  </si>
  <si>
    <t>Организация круглогодичного отдыха, оздоровления и занятости обучающихся, закаливание беременных (ДНБ)</t>
  </si>
  <si>
    <t>05 1 00 13011</t>
  </si>
  <si>
    <t>05 1 00 15521</t>
  </si>
  <si>
    <t>Развитие физической культуры и детско-юношеского спорта в Анжеро-Судженском городском округе в рамках подпрограммы (ЦБ)</t>
  </si>
  <si>
    <t>09 0 00 11013</t>
  </si>
  <si>
    <t>Повышение доступности и качества спортивно-оздоровительных услуг</t>
  </si>
  <si>
    <t>09 0 00 12011</t>
  </si>
  <si>
    <t>Обеспечение доступа населения к спортивным сооружениям для занятий физической культурой и спортом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</si>
  <si>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</si>
  <si>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</si>
  <si>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</si>
  <si>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</si>
  <si>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</si>
  <si>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Повышение доступности и качества спортивно-оздоровительных услуг (аппарат)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</si>
  <si>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</si>
  <si>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</si>
  <si>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</si>
  <si>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</si>
  <si>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</si>
  <si>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</si>
  <si>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</si>
  <si>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</si>
  <si>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</si>
  <si>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</si>
  <si>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</si>
  <si>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</si>
  <si>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</si>
  <si>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</si>
  <si>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</si>
  <si>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</si>
  <si>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</si>
  <si>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</si>
  <si>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</si>
  <si>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</si>
  <si>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</si>
  <si>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</si>
  <si>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</si>
  <si>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</si>
  <si>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</si>
  <si>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</si>
  <si>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</si>
  <si>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</si>
  <si>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</si>
  <si>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</si>
  <si>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</si>
  <si>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и частных дошкольных образовательных организациях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</si>
  <si>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(детские сады)</t>
  </si>
  <si>
    <t>05 1 00 11161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</si>
  <si>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(возврат зданий)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</si>
  <si>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</si>
  <si>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</si>
  <si>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</si>
  <si>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</si>
  <si>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</si>
  <si>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(школы)</t>
  </si>
  <si>
    <t>05 1 00 11231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</si>
  <si>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 (УДО)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</si>
  <si>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</si>
  <si>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</si>
  <si>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 (платные и целевые)</t>
  </si>
  <si>
    <t>Адресная социальная поддержка участников образовательного процесса</t>
  </si>
  <si>
    <t>Социальная поддержка участников образовательного процесса (ДНБ)</t>
  </si>
  <si>
    <t>05 1 00 11202</t>
  </si>
  <si>
    <t>05 1 00 12051</t>
  </si>
  <si>
    <t>05 1 00 12021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</si>
  <si>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 (ДНБ)</t>
  </si>
  <si>
    <t>05 1 00 13211</t>
  </si>
  <si>
    <t>Организация круглогодичного отдыха, оздоровления и занятости обучающихся, закаливание беременных (Белая роща)</t>
  </si>
  <si>
    <t>05 1 00 17011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</si>
  <si>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 (ДНБ)</t>
  </si>
  <si>
    <t>05 1 00 18221</t>
  </si>
  <si>
    <t>Развитие кадрового потенциала муниципальной системы образования</t>
  </si>
  <si>
    <t>Организация и осуществление деятельности по опеке и попечительству</t>
  </si>
  <si>
    <t>Обеспечение деятельности прочих организаций в сфере образования Анжеро-Судженского городского округа (аппарат)</t>
  </si>
  <si>
    <t>05 3 00 11041</t>
  </si>
  <si>
    <t>Обеспечение деятельности прочих организаций в сфере образования Анжеро-Судженского городского округа (КДП)</t>
  </si>
  <si>
    <t>05 3 00 11351</t>
  </si>
  <si>
    <t>05 3 00 11521</t>
  </si>
  <si>
    <t>Обеспечение деятельности прочих организаций в сфере образования Анжеро-Судженского городского округа (ЦБ и прочие)</t>
  </si>
  <si>
    <t>Социальная поддержка работников образовательных организаций и реализация мероприятий по привлечению молодых специалистов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</si>
  <si>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</si>
  <si>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</si>
  <si>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</si>
  <si>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</si>
  <si>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</si>
  <si>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</si>
  <si>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</si>
  <si>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</si>
  <si>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"О некоторых вопросах в сфере опеки и попечительства несовершеннолетних" и от 13 марта 2008 года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</si>
  <si>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</si>
  <si>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</si>
  <si>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</si>
  <si>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</si>
  <si>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</si>
  <si>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</si>
  <si>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</si>
  <si>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</si>
  <si>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</si>
  <si>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Развитие управления в сфере культуры (аппарат)</t>
  </si>
  <si>
    <t>Развитие управления в сфере культуры (ЦБ)</t>
  </si>
  <si>
    <t>06 0 00 14521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</si>
  <si>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</si>
  <si>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</si>
  <si>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</si>
  <si>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</si>
  <si>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</si>
  <si>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</si>
  <si>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085 00 11051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</si>
  <si>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</si>
  <si>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</si>
  <si>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</si>
  <si>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</si>
  <si>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инвалидов в соответствии с Законом Кемеровской области от 14 февраля 2005 года № 25-ОЗ "О социальной поддержке инвалидов"</t>
  </si>
  <si>
    <t>Меры социальной поддержки отдельной категории приемных матерей в соответствии с Законом Кемеровской области от 7 февраля 2013 года № 9-ОЗ "О мерах социальной поддержки отдельной категории приемных матерей"</t>
  </si>
  <si>
    <t>Предоставление гражданам субсидий на оплату жилого помещения и коммунальных услуг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</si>
  <si>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льготы на проезд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</si>
  <si>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</si>
  <si>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</si>
  <si>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Назначение и выплата пенсий Кемеровской области в соответствии с Законом Кемеровской области от 14 января 1999 года № 8-ОЗ "О пенсиях  Кемеровской области"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</si>
  <si>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</si>
  <si>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</si>
  <si>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</si>
  <si>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Меры социальной поддержки по оплате жилищно-коммунальных услуг отдельных категорий граждан, оказание мер социальной поддержки которым относится к ведению субъекта Российской Федерации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</si>
  <si>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</si>
  <si>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</si>
  <si>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</si>
  <si>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Ежемесячная денежная выплата отдельным категориям семей в случае рождения третьего ребенка или последующих детей в соответствии с Законом Кемеровской области от 9 июля 2012 года № 73-ОЗ "О ежемесячной денежной выплате отдельным категориям семей в случае рождения третьего ребенка или последующих детей"</t>
  </si>
  <si>
    <t>Ежемесячное пособие на ребенка в соответствии с Законом Кемеровской области от 18 ноября 2004 года № 75-ОЗ "О размере, порядке назначения и выплаты ежемесячного пособия на ребенка"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</si>
  <si>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</si>
  <si>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</si>
  <si>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</si>
  <si>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</si>
  <si>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</si>
  <si>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</si>
  <si>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</si>
  <si>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</si>
  <si>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</si>
  <si>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</si>
  <si>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Возмещение убытков, возникших в результате применения государственных регулируемых цен за реализацию угля населению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</si>
  <si>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</si>
  <si>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</si>
  <si>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</si>
  <si>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</si>
  <si>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11 7 00 11112</t>
  </si>
  <si>
    <t>Повышение безопасности дорожного движения, КРИСы, Безопасный город</t>
  </si>
  <si>
    <t>04 5 00 12202</t>
  </si>
  <si>
    <t>Капитальный ремонт муниципального жилого фонда, в т.ч. отдельных муниципальных квартир</t>
  </si>
  <si>
    <t>10 1 00 11301</t>
  </si>
  <si>
    <t>Капитальный ремонт муниципальных сетей и котельного оборудования</t>
  </si>
  <si>
    <t>10 1 00 13301</t>
  </si>
  <si>
    <t>Актуализация схемы теплоснабжения</t>
  </si>
  <si>
    <t>10 1 00 14301</t>
  </si>
  <si>
    <t>Подготовка кадров</t>
  </si>
  <si>
    <t>10 1 00 15301</t>
  </si>
  <si>
    <t>Проверка сметной документации, технадзор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</si>
  <si>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</si>
  <si>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</si>
  <si>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</si>
  <si>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</si>
  <si>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</si>
  <si>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</si>
  <si>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10 3 00 13501</t>
  </si>
  <si>
    <t>Компенсация выпадающих доходов организациям, предоставляющим населению банные услуги  по регулируемым государственным тарифам, не обеспечивающим возмещение издержек</t>
  </si>
  <si>
    <t>Содержание и обустройство сибиреязвенных захоронений и скотомогильников (биотермических ям)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</si>
  <si>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</si>
  <si>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</si>
  <si>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</si>
  <si>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11 3 0011131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</si>
  <si>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</si>
  <si>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</si>
  <si>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</si>
  <si>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</si>
  <si>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</si>
  <si>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</si>
  <si>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</si>
  <si>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</si>
  <si>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</si>
  <si>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</si>
  <si>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</si>
  <si>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</si>
  <si>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</si>
  <si>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</si>
  <si>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</si>
  <si>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</si>
  <si>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</si>
  <si>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Условно утвержденные расходы</t>
  </si>
  <si>
    <t>99</t>
  </si>
  <si>
    <t>10 1 00 12301</t>
  </si>
  <si>
    <t>Теплоснабжение восточного жилого района г.Анжеро-Судженска (строительство теплотрассы)</t>
  </si>
  <si>
    <t>10 1 00 17301</t>
  </si>
  <si>
    <t>Разработка схемы водоснабжения и водоотведения</t>
  </si>
  <si>
    <t>04 3 00 12151</t>
  </si>
  <si>
    <t>05 2 00 11012</t>
  </si>
  <si>
    <t>99 0 00 99999</t>
  </si>
  <si>
    <t>Дополнительное образование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</si>
</sst>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wrapText="1"/>
    </xf>
    <xf numFmtId="164" fontId="9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textRotation="90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49" fontId="0" fillId="0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4" fillId="0" borderId="0" xfId="0" applyFont="1" applyFill="1" applyAlignment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164" fontId="0" fillId="0" borderId="0" xfId="0" applyNumberFormat="1" applyFill="1" applyAlignment="1">
      <alignment horizontal="center" wrapText="1"/>
    </xf>
    <xf numFmtId="0" fontId="18" fillId="0" borderId="1" xfId="0" applyNumberFormat="1" applyFont="1" applyFill="1" applyBorder="1" applyAlignment="1">
      <alignment wrapText="1"/>
    </xf>
    <xf numFmtId="49" fontId="18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15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11" fillId="0" borderId="1" xfId="0" applyFont="1" applyFill="1" applyBorder="1" applyAlignment="1">
      <alignment horizontal="justify" vertical="center" wrapText="1"/>
    </xf>
    <xf numFmtId="164" fontId="15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64" fontId="3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0" fontId="15" fillId="0" borderId="3" xfId="0" applyFont="1" applyFill="1" applyBorder="1" applyAlignment="1">
      <alignment wrapText="1"/>
    </xf>
    <xf numFmtId="0" fontId="11" fillId="0" borderId="7" xfId="0" applyFont="1" applyFill="1" applyBorder="1" applyAlignment="1">
      <alignment vertical="center" wrapText="1"/>
    </xf>
    <xf numFmtId="0" fontId="13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49" fontId="10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4%20&#1082;%20&#1088;&#1077;&#1096;&#1077;&#1085;&#1080;&#1102;%20-%20&#1088;&#1072;&#1089;&#1093;&#1086;&#1076;&#1099;%20&#1087;&#1086;%20&#1087;&#1088;&#1086;&#1075;&#1088;&#1072;&#1084;&#1084;&#1072;&#1084;%20&#1073;&#1102;&#1076;&#1078;&#1077;&#1090;%202017%20&#1075;.%20&#1080;%20&#1087;&#1083;&#1072;&#1085;&#1086;&#1074;&#1099;&#1081;%20&#1087;&#1077;&#1088;&#1080;&#1086;&#1076;%202018-19&#1075;&#1075;.%20&#1087;&#1086;%20&#1075;&#1088;&#1091;&#1087;&#1087;&#1072;&#1084;%20&#1074;&#1080;&#1076;&#1086;&#1074;%20&#1088;&#1072;&#1089;&#1093;&#1086;&#1076;&#1086;&#1074;%20&#1040;-&#1057;%20&#1043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."/>
      <sheetName val="без нулевых строк"/>
    </sheetNames>
    <sheetDataSet>
      <sheetData sheetId="0">
        <row r="570">
          <cell r="G570">
            <v>2414660.8000000003</v>
          </cell>
          <cell r="H570">
            <v>2160059.9000000004</v>
          </cell>
          <cell r="I570">
            <v>2242476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621"/>
  <sheetViews>
    <sheetView zoomScaleNormal="100" workbookViewId="0">
      <pane xSplit="1" ySplit="9" topLeftCell="B10" activePane="bottomRight" state="frozen"/>
      <selection pane="topRight"/>
      <selection pane="bottomLeft"/>
      <selection pane="bottomRight" activeCell="A20" sqref="A20"/>
    </sheetView>
  </sheetViews>
  <sheetFormatPr defaultColWidth="9.140625" defaultRowHeight="12.75" x14ac:dyDescent="0.2"/>
  <cols>
    <col min="1" max="1" width="53.5703125" style="21" customWidth="1"/>
    <col min="2" max="2" width="6.28515625" style="21" customWidth="1"/>
    <col min="3" max="3" width="4.85546875" style="37" customWidth="1"/>
    <col min="4" max="4" width="6.140625" style="37" customWidth="1"/>
    <col min="5" max="5" width="15.42578125" style="37" customWidth="1"/>
    <col min="6" max="6" width="5.85546875" style="37" customWidth="1"/>
    <col min="7" max="9" width="12.140625" style="37" customWidth="1"/>
    <col min="10" max="10" width="10" style="21" customWidth="1"/>
    <col min="11" max="11" width="11" style="21" customWidth="1"/>
    <col min="12" max="12" width="10.28515625" style="21" customWidth="1"/>
    <col min="13" max="13" width="10.42578125" style="21" customWidth="1"/>
    <col min="14" max="15" width="9.140625" style="21" customWidth="1"/>
    <col min="16" max="16384" width="9.140625" style="21"/>
  </cols>
  <sheetData>
    <row r="1" spans="1:12" x14ac:dyDescent="0.2">
      <c r="F1" s="40"/>
      <c r="G1" s="40"/>
      <c r="H1" s="40"/>
      <c r="I1" s="81" t="s">
        <v>87</v>
      </c>
    </row>
    <row r="2" spans="1:12" x14ac:dyDescent="0.2">
      <c r="F2" s="40"/>
      <c r="G2" s="40"/>
      <c r="H2" s="40"/>
      <c r="I2" s="81" t="s">
        <v>79</v>
      </c>
    </row>
    <row r="3" spans="1:12" x14ac:dyDescent="0.2">
      <c r="F3" s="40"/>
      <c r="G3" s="40"/>
      <c r="H3" s="40"/>
      <c r="I3" s="81" t="s">
        <v>165</v>
      </c>
    </row>
    <row r="4" spans="1:12" x14ac:dyDescent="0.2">
      <c r="I4" s="82"/>
    </row>
    <row r="5" spans="1:12" s="24" customFormat="1" ht="18.75" x14ac:dyDescent="0.3">
      <c r="A5" s="91" t="s">
        <v>86</v>
      </c>
      <c r="B5" s="91"/>
      <c r="C5" s="91"/>
      <c r="D5" s="91"/>
      <c r="E5" s="91"/>
      <c r="F5" s="91"/>
      <c r="G5" s="91"/>
      <c r="H5" s="91"/>
      <c r="I5" s="91"/>
    </row>
    <row r="6" spans="1:12" s="24" customFormat="1" ht="18.75" x14ac:dyDescent="0.3">
      <c r="A6" s="92" t="s">
        <v>164</v>
      </c>
      <c r="B6" s="92"/>
      <c r="C6" s="92"/>
      <c r="D6" s="92"/>
      <c r="E6" s="92"/>
      <c r="F6" s="92"/>
      <c r="G6" s="92"/>
      <c r="H6" s="92"/>
      <c r="I6" s="92"/>
    </row>
    <row r="7" spans="1:12" s="25" customFormat="1" ht="13.5" thickBot="1" x14ac:dyDescent="0.25">
      <c r="A7" s="97"/>
      <c r="B7" s="97"/>
      <c r="C7" s="97"/>
      <c r="D7" s="97"/>
      <c r="E7" s="97"/>
      <c r="F7" s="97"/>
      <c r="G7" s="97"/>
      <c r="I7" s="25" t="s">
        <v>63</v>
      </c>
    </row>
    <row r="8" spans="1:12" x14ac:dyDescent="0.2">
      <c r="A8" s="98"/>
      <c r="B8" s="95" t="s">
        <v>60</v>
      </c>
      <c r="C8" s="95" t="s">
        <v>8</v>
      </c>
      <c r="D8" s="95" t="s">
        <v>9</v>
      </c>
      <c r="E8" s="95" t="s">
        <v>10</v>
      </c>
      <c r="F8" s="95" t="s">
        <v>11</v>
      </c>
      <c r="G8" s="93" t="s">
        <v>166</v>
      </c>
      <c r="H8" s="93" t="s">
        <v>167</v>
      </c>
      <c r="I8" s="93" t="s">
        <v>168</v>
      </c>
    </row>
    <row r="9" spans="1:12" x14ac:dyDescent="0.2">
      <c r="A9" s="99"/>
      <c r="B9" s="96"/>
      <c r="C9" s="96"/>
      <c r="D9" s="96"/>
      <c r="E9" s="96"/>
      <c r="F9" s="96"/>
      <c r="G9" s="94"/>
      <c r="H9" s="94"/>
      <c r="I9" s="94"/>
    </row>
    <row r="10" spans="1:12" s="10" customFormat="1" ht="25.5" x14ac:dyDescent="0.2">
      <c r="A10" s="44" t="s">
        <v>45</v>
      </c>
      <c r="B10" s="45">
        <v>900</v>
      </c>
      <c r="C10" s="46"/>
      <c r="D10" s="46"/>
      <c r="E10" s="46"/>
      <c r="F10" s="57"/>
      <c r="G10" s="47">
        <f>G11+G54+G68+G101+G118+G130+G160+G123</f>
        <v>478954.70000000007</v>
      </c>
      <c r="H10" s="47">
        <f>H11+H54+H68+H101+H118+H130+H160+H123</f>
        <v>279958.89999999997</v>
      </c>
      <c r="I10" s="47">
        <f>I11+I54+I68+I101+I118+I130+I160+I123</f>
        <v>338870.3</v>
      </c>
      <c r="J10" s="86"/>
      <c r="K10" s="86"/>
      <c r="L10" s="86"/>
    </row>
    <row r="11" spans="1:12" s="62" customFormat="1" x14ac:dyDescent="0.2">
      <c r="A11" s="59" t="s">
        <v>61</v>
      </c>
      <c r="B11" s="50">
        <v>900</v>
      </c>
      <c r="C11" s="1" t="s">
        <v>12</v>
      </c>
      <c r="D11" s="60"/>
      <c r="E11" s="60"/>
      <c r="F11" s="61"/>
      <c r="G11" s="2">
        <f>G12+G15+G34+G28+G31</f>
        <v>61183.700000000012</v>
      </c>
      <c r="H11" s="2">
        <f>H12+H15+H34+H28+H31</f>
        <v>58347.8</v>
      </c>
      <c r="I11" s="2">
        <f>I12+I15+I34+I28+I31</f>
        <v>58346.8</v>
      </c>
    </row>
    <row r="12" spans="1:12" s="9" customFormat="1" ht="38.25" x14ac:dyDescent="0.2">
      <c r="A12" s="11" t="s">
        <v>13</v>
      </c>
      <c r="B12" s="14">
        <v>900</v>
      </c>
      <c r="C12" s="8" t="s">
        <v>12</v>
      </c>
      <c r="D12" s="8" t="s">
        <v>14</v>
      </c>
      <c r="E12" s="8"/>
      <c r="F12" s="8"/>
      <c r="G12" s="4">
        <f t="shared" ref="G12:I13" si="0">G13</f>
        <v>1053.8</v>
      </c>
      <c r="H12" s="4">
        <f t="shared" si="0"/>
        <v>1053.8</v>
      </c>
      <c r="I12" s="4">
        <f t="shared" si="0"/>
        <v>1053.8</v>
      </c>
    </row>
    <row r="13" spans="1:12" ht="25.5" x14ac:dyDescent="0.2">
      <c r="A13" s="18" t="s">
        <v>171</v>
      </c>
      <c r="B13" s="22">
        <v>900</v>
      </c>
      <c r="C13" s="19" t="s">
        <v>12</v>
      </c>
      <c r="D13" s="19" t="s">
        <v>14</v>
      </c>
      <c r="E13" s="19" t="s">
        <v>170</v>
      </c>
      <c r="F13" s="19"/>
      <c r="G13" s="20">
        <f t="shared" si="0"/>
        <v>1053.8</v>
      </c>
      <c r="H13" s="20">
        <f t="shared" si="0"/>
        <v>1053.8</v>
      </c>
      <c r="I13" s="20">
        <f t="shared" si="0"/>
        <v>1053.8</v>
      </c>
    </row>
    <row r="14" spans="1:12" s="29" customFormat="1" ht="51.75" customHeight="1" x14ac:dyDescent="0.2">
      <c r="A14" s="34" t="s">
        <v>67</v>
      </c>
      <c r="B14" s="36">
        <v>900</v>
      </c>
      <c r="C14" s="27" t="s">
        <v>12</v>
      </c>
      <c r="D14" s="27" t="s">
        <v>14</v>
      </c>
      <c r="E14" s="27" t="s">
        <v>170</v>
      </c>
      <c r="F14" s="30" t="s">
        <v>68</v>
      </c>
      <c r="G14" s="28">
        <f>771+50+232.8</f>
        <v>1053.8</v>
      </c>
      <c r="H14" s="28">
        <f t="shared" ref="H14:I14" si="1">771+50+232.8</f>
        <v>1053.8</v>
      </c>
      <c r="I14" s="28">
        <f t="shared" si="1"/>
        <v>1053.8</v>
      </c>
    </row>
    <row r="15" spans="1:12" s="9" customFormat="1" ht="51" x14ac:dyDescent="0.2">
      <c r="A15" s="11" t="s">
        <v>17</v>
      </c>
      <c r="B15" s="14">
        <v>900</v>
      </c>
      <c r="C15" s="8" t="s">
        <v>12</v>
      </c>
      <c r="D15" s="8" t="s">
        <v>18</v>
      </c>
      <c r="E15" s="8"/>
      <c r="F15" s="8"/>
      <c r="G15" s="4">
        <f>G16+G19+G21+G25</f>
        <v>39153.800000000003</v>
      </c>
      <c r="H15" s="4">
        <f>H16+H19+H21+H25</f>
        <v>37471.800000000003</v>
      </c>
      <c r="I15" s="4">
        <f>I16+I19+I21+I25</f>
        <v>37470.800000000003</v>
      </c>
    </row>
    <row r="16" spans="1:12" ht="25.5" x14ac:dyDescent="0.2">
      <c r="A16" s="18" t="s">
        <v>172</v>
      </c>
      <c r="B16" s="22">
        <v>900</v>
      </c>
      <c r="C16" s="19" t="s">
        <v>12</v>
      </c>
      <c r="D16" s="19" t="s">
        <v>18</v>
      </c>
      <c r="E16" s="19" t="s">
        <v>98</v>
      </c>
      <c r="F16" s="19"/>
      <c r="G16" s="20">
        <f>G17+G18</f>
        <v>332</v>
      </c>
      <c r="H16" s="20">
        <f>H17+H18</f>
        <v>330</v>
      </c>
      <c r="I16" s="20">
        <f>I17+I18</f>
        <v>329</v>
      </c>
    </row>
    <row r="17" spans="1:14" s="29" customFormat="1" ht="52.5" customHeight="1" x14ac:dyDescent="0.2">
      <c r="A17" s="26" t="s">
        <v>67</v>
      </c>
      <c r="B17" s="35">
        <v>900</v>
      </c>
      <c r="C17" s="27" t="s">
        <v>12</v>
      </c>
      <c r="D17" s="27" t="s">
        <v>18</v>
      </c>
      <c r="E17" s="27" t="s">
        <v>98</v>
      </c>
      <c r="F17" s="30" t="s">
        <v>68</v>
      </c>
      <c r="G17" s="28">
        <f>303.7</f>
        <v>303.7</v>
      </c>
      <c r="H17" s="28">
        <f t="shared" ref="H17:I17" si="2">303.7</f>
        <v>303.7</v>
      </c>
      <c r="I17" s="28">
        <f t="shared" si="2"/>
        <v>303.7</v>
      </c>
      <c r="J17" s="21"/>
      <c r="K17" s="21"/>
      <c r="L17" s="21"/>
      <c r="M17" s="21"/>
      <c r="N17" s="21"/>
    </row>
    <row r="18" spans="1:14" s="29" customFormat="1" ht="25.5" x14ac:dyDescent="0.2">
      <c r="A18" s="26" t="s">
        <v>151</v>
      </c>
      <c r="B18" s="35">
        <v>900</v>
      </c>
      <c r="C18" s="27" t="s">
        <v>12</v>
      </c>
      <c r="D18" s="27" t="s">
        <v>18</v>
      </c>
      <c r="E18" s="27" t="s">
        <v>98</v>
      </c>
      <c r="F18" s="30" t="s">
        <v>69</v>
      </c>
      <c r="G18" s="28">
        <f>28.3</f>
        <v>28.3</v>
      </c>
      <c r="H18" s="28">
        <f>26.3</f>
        <v>26.3</v>
      </c>
      <c r="I18" s="28">
        <f>25.3</f>
        <v>25.3</v>
      </c>
      <c r="J18" s="21"/>
      <c r="K18" s="21"/>
      <c r="L18" s="21"/>
      <c r="M18" s="21"/>
      <c r="N18" s="21"/>
    </row>
    <row r="19" spans="1:14" ht="15" customHeight="1" x14ac:dyDescent="0.2">
      <c r="A19" s="18" t="s">
        <v>173</v>
      </c>
      <c r="B19" s="22">
        <v>900</v>
      </c>
      <c r="C19" s="19" t="s">
        <v>12</v>
      </c>
      <c r="D19" s="19" t="s">
        <v>18</v>
      </c>
      <c r="E19" s="19" t="s">
        <v>97</v>
      </c>
      <c r="F19" s="19"/>
      <c r="G19" s="20">
        <f>G20</f>
        <v>115</v>
      </c>
      <c r="H19" s="20">
        <f>H20</f>
        <v>115</v>
      </c>
      <c r="I19" s="20">
        <f>I20</f>
        <v>115</v>
      </c>
    </row>
    <row r="20" spans="1:14" s="29" customFormat="1" ht="51.75" customHeight="1" x14ac:dyDescent="0.2">
      <c r="A20" s="26" t="s">
        <v>67</v>
      </c>
      <c r="B20" s="35">
        <v>900</v>
      </c>
      <c r="C20" s="27" t="s">
        <v>12</v>
      </c>
      <c r="D20" s="27" t="s">
        <v>18</v>
      </c>
      <c r="E20" s="27" t="s">
        <v>97</v>
      </c>
      <c r="F20" s="30" t="s">
        <v>68</v>
      </c>
      <c r="G20" s="28">
        <f>115</f>
        <v>115</v>
      </c>
      <c r="H20" s="28">
        <f>115</f>
        <v>115</v>
      </c>
      <c r="I20" s="28">
        <f>115</f>
        <v>115</v>
      </c>
      <c r="J20" s="21"/>
      <c r="K20" s="21"/>
      <c r="L20" s="21"/>
      <c r="M20" s="21"/>
      <c r="N20" s="21"/>
    </row>
    <row r="21" spans="1:14" ht="25.5" x14ac:dyDescent="0.2">
      <c r="A21" s="18" t="s">
        <v>175</v>
      </c>
      <c r="B21" s="22">
        <v>900</v>
      </c>
      <c r="C21" s="19" t="s">
        <v>12</v>
      </c>
      <c r="D21" s="19" t="s">
        <v>18</v>
      </c>
      <c r="E21" s="19" t="s">
        <v>174</v>
      </c>
      <c r="F21" s="19"/>
      <c r="G21" s="20">
        <f>G22+G23+G24</f>
        <v>36515.9</v>
      </c>
      <c r="H21" s="20">
        <f>H22+H23+H24</f>
        <v>34835.9</v>
      </c>
      <c r="I21" s="20">
        <f>I22+I23+I24</f>
        <v>34835.9</v>
      </c>
    </row>
    <row r="22" spans="1:14" s="29" customFormat="1" ht="51" customHeight="1" x14ac:dyDescent="0.2">
      <c r="A22" s="34" t="s">
        <v>67</v>
      </c>
      <c r="B22" s="36">
        <v>900</v>
      </c>
      <c r="C22" s="27" t="s">
        <v>12</v>
      </c>
      <c r="D22" s="27" t="s">
        <v>18</v>
      </c>
      <c r="E22" s="27" t="s">
        <v>174</v>
      </c>
      <c r="F22" s="30" t="s">
        <v>68</v>
      </c>
      <c r="G22" s="28">
        <f>16028.2+4840.6+100</f>
        <v>20968.800000000003</v>
      </c>
      <c r="H22" s="28">
        <f t="shared" ref="H22:I22" si="3">16028.2+4840.6+100</f>
        <v>20968.800000000003</v>
      </c>
      <c r="I22" s="28">
        <f t="shared" si="3"/>
        <v>20968.800000000003</v>
      </c>
    </row>
    <row r="23" spans="1:14" s="29" customFormat="1" ht="25.5" x14ac:dyDescent="0.2">
      <c r="A23" s="31" t="s">
        <v>77</v>
      </c>
      <c r="B23" s="36">
        <v>900</v>
      </c>
      <c r="C23" s="27" t="s">
        <v>12</v>
      </c>
      <c r="D23" s="27" t="s">
        <v>18</v>
      </c>
      <c r="E23" s="27" t="s">
        <v>174</v>
      </c>
      <c r="F23" s="30" t="s">
        <v>69</v>
      </c>
      <c r="G23" s="28">
        <v>15271.6</v>
      </c>
      <c r="H23" s="28">
        <v>13591.6</v>
      </c>
      <c r="I23" s="28">
        <v>13591.6</v>
      </c>
    </row>
    <row r="24" spans="1:14" s="29" customFormat="1" x14ac:dyDescent="0.2">
      <c r="A24" s="31" t="s">
        <v>73</v>
      </c>
      <c r="B24" s="35">
        <v>900</v>
      </c>
      <c r="C24" s="27" t="s">
        <v>12</v>
      </c>
      <c r="D24" s="27" t="s">
        <v>18</v>
      </c>
      <c r="E24" s="27" t="s">
        <v>174</v>
      </c>
      <c r="F24" s="27" t="s">
        <v>74</v>
      </c>
      <c r="G24" s="28">
        <v>275.5</v>
      </c>
      <c r="H24" s="28">
        <v>275.5</v>
      </c>
      <c r="I24" s="28">
        <v>275.5</v>
      </c>
    </row>
    <row r="25" spans="1:14" ht="25.5" x14ac:dyDescent="0.2">
      <c r="A25" s="18" t="s">
        <v>176</v>
      </c>
      <c r="B25" s="22">
        <v>900</v>
      </c>
      <c r="C25" s="19" t="s">
        <v>12</v>
      </c>
      <c r="D25" s="19" t="s">
        <v>18</v>
      </c>
      <c r="E25" s="19" t="s">
        <v>177</v>
      </c>
      <c r="F25" s="19"/>
      <c r="G25" s="20">
        <f>G26+G27</f>
        <v>2190.9</v>
      </c>
      <c r="H25" s="20">
        <f>H26+H27</f>
        <v>2190.9</v>
      </c>
      <c r="I25" s="20">
        <f>I26+I27</f>
        <v>2190.9</v>
      </c>
    </row>
    <row r="26" spans="1:14" s="29" customFormat="1" ht="52.5" customHeight="1" x14ac:dyDescent="0.2">
      <c r="A26" s="34" t="s">
        <v>67</v>
      </c>
      <c r="B26" s="36">
        <v>900</v>
      </c>
      <c r="C26" s="27" t="s">
        <v>12</v>
      </c>
      <c r="D26" s="27" t="s">
        <v>18</v>
      </c>
      <c r="E26" s="19" t="s">
        <v>177</v>
      </c>
      <c r="F26" s="30" t="s">
        <v>68</v>
      </c>
      <c r="G26" s="28">
        <v>2011.8</v>
      </c>
      <c r="H26" s="28">
        <v>2011.8</v>
      </c>
      <c r="I26" s="28">
        <v>2011.8</v>
      </c>
    </row>
    <row r="27" spans="1:14" s="29" customFormat="1" ht="25.5" x14ac:dyDescent="0.2">
      <c r="A27" s="31" t="s">
        <v>77</v>
      </c>
      <c r="B27" s="36">
        <v>900</v>
      </c>
      <c r="C27" s="27" t="s">
        <v>12</v>
      </c>
      <c r="D27" s="27" t="s">
        <v>18</v>
      </c>
      <c r="E27" s="19" t="s">
        <v>177</v>
      </c>
      <c r="F27" s="30" t="s">
        <v>69</v>
      </c>
      <c r="G27" s="28">
        <v>179.1</v>
      </c>
      <c r="H27" s="28">
        <v>179.1</v>
      </c>
      <c r="I27" s="28">
        <v>179.1</v>
      </c>
    </row>
    <row r="28" spans="1:14" s="29" customFormat="1" x14ac:dyDescent="0.2">
      <c r="A28" s="11" t="s">
        <v>85</v>
      </c>
      <c r="B28" s="11">
        <v>900</v>
      </c>
      <c r="C28" s="8" t="s">
        <v>12</v>
      </c>
      <c r="D28" s="8" t="s">
        <v>31</v>
      </c>
      <c r="E28" s="8"/>
      <c r="F28" s="8"/>
      <c r="G28" s="4">
        <f t="shared" ref="G28:I29" si="4">G29</f>
        <v>0</v>
      </c>
      <c r="H28" s="4">
        <f t="shared" si="4"/>
        <v>0</v>
      </c>
      <c r="I28" s="4">
        <f t="shared" si="4"/>
        <v>0</v>
      </c>
    </row>
    <row r="29" spans="1:14" ht="25.5" customHeight="1" x14ac:dyDescent="0.2">
      <c r="A29" s="18" t="s">
        <v>178</v>
      </c>
      <c r="B29" s="18">
        <v>900</v>
      </c>
      <c r="C29" s="19" t="s">
        <v>12</v>
      </c>
      <c r="D29" s="19" t="s">
        <v>31</v>
      </c>
      <c r="E29" s="19" t="s">
        <v>101</v>
      </c>
      <c r="F29" s="19"/>
      <c r="G29" s="20">
        <f t="shared" si="4"/>
        <v>0</v>
      </c>
      <c r="H29" s="20">
        <f t="shared" si="4"/>
        <v>0</v>
      </c>
      <c r="I29" s="20">
        <f t="shared" si="4"/>
        <v>0</v>
      </c>
    </row>
    <row r="30" spans="1:14" s="29" customFormat="1" ht="25.5" x14ac:dyDescent="0.2">
      <c r="A30" s="31" t="s">
        <v>77</v>
      </c>
      <c r="B30" s="26">
        <v>900</v>
      </c>
      <c r="C30" s="27" t="s">
        <v>12</v>
      </c>
      <c r="D30" s="27" t="s">
        <v>31</v>
      </c>
      <c r="E30" s="27" t="s">
        <v>102</v>
      </c>
      <c r="F30" s="30" t="s">
        <v>69</v>
      </c>
      <c r="G30" s="28"/>
      <c r="H30" s="28"/>
      <c r="I30" s="28"/>
    </row>
    <row r="31" spans="1:14" s="78" customFormat="1" x14ac:dyDescent="0.2">
      <c r="A31" s="11" t="s">
        <v>160</v>
      </c>
      <c r="B31" s="11">
        <v>900</v>
      </c>
      <c r="C31" s="8" t="s">
        <v>12</v>
      </c>
      <c r="D31" s="8" t="s">
        <v>19</v>
      </c>
      <c r="E31" s="8"/>
      <c r="F31" s="8"/>
      <c r="G31" s="4">
        <f t="shared" ref="G31:I32" si="5">G32</f>
        <v>0</v>
      </c>
      <c r="H31" s="4">
        <f t="shared" si="5"/>
        <v>0</v>
      </c>
      <c r="I31" s="4">
        <f t="shared" si="5"/>
        <v>0</v>
      </c>
    </row>
    <row r="32" spans="1:14" s="77" customFormat="1" ht="25.5" x14ac:dyDescent="0.2">
      <c r="A32" s="18" t="s">
        <v>179</v>
      </c>
      <c r="B32" s="18">
        <v>900</v>
      </c>
      <c r="C32" s="19" t="s">
        <v>12</v>
      </c>
      <c r="D32" s="19" t="s">
        <v>19</v>
      </c>
      <c r="E32" s="19" t="s">
        <v>180</v>
      </c>
      <c r="F32" s="19"/>
      <c r="G32" s="20">
        <f t="shared" si="5"/>
        <v>0</v>
      </c>
      <c r="H32" s="20">
        <f t="shared" si="5"/>
        <v>0</v>
      </c>
      <c r="I32" s="20">
        <f t="shared" si="5"/>
        <v>0</v>
      </c>
    </row>
    <row r="33" spans="1:14" s="78" customFormat="1" ht="25.5" x14ac:dyDescent="0.2">
      <c r="A33" s="31" t="s">
        <v>77</v>
      </c>
      <c r="B33" s="26">
        <v>900</v>
      </c>
      <c r="C33" s="27" t="s">
        <v>12</v>
      </c>
      <c r="D33" s="27" t="s">
        <v>19</v>
      </c>
      <c r="E33" s="27" t="s">
        <v>180</v>
      </c>
      <c r="F33" s="30" t="s">
        <v>69</v>
      </c>
      <c r="G33" s="28"/>
      <c r="H33" s="28"/>
      <c r="I33" s="28"/>
    </row>
    <row r="34" spans="1:14" s="9" customFormat="1" x14ac:dyDescent="0.2">
      <c r="A34" s="11" t="s">
        <v>24</v>
      </c>
      <c r="B34" s="14">
        <v>900</v>
      </c>
      <c r="C34" s="8" t="s">
        <v>12</v>
      </c>
      <c r="D34" s="8" t="s">
        <v>62</v>
      </c>
      <c r="E34" s="8"/>
      <c r="F34" s="8"/>
      <c r="G34" s="4">
        <f>G37+G43+G45+G47+G49+G52+G35+G39+G41</f>
        <v>20976.100000000002</v>
      </c>
      <c r="H34" s="4">
        <f t="shared" ref="H34:I34" si="6">H37+H43+H45+H47+H49+H52+H35+H39+H41</f>
        <v>19822.2</v>
      </c>
      <c r="I34" s="4">
        <f t="shared" si="6"/>
        <v>19822.2</v>
      </c>
    </row>
    <row r="35" spans="1:14" s="77" customFormat="1" ht="25.5" x14ac:dyDescent="0.2">
      <c r="A35" s="17" t="s">
        <v>181</v>
      </c>
      <c r="B35" s="17">
        <v>900</v>
      </c>
      <c r="C35" s="19" t="s">
        <v>12</v>
      </c>
      <c r="D35" s="19" t="s">
        <v>62</v>
      </c>
      <c r="E35" s="19" t="s">
        <v>158</v>
      </c>
      <c r="F35" s="19"/>
      <c r="G35" s="20">
        <f>G36</f>
        <v>0</v>
      </c>
      <c r="H35" s="20">
        <f>H36</f>
        <v>0</v>
      </c>
      <c r="I35" s="20">
        <f>I36</f>
        <v>0</v>
      </c>
    </row>
    <row r="36" spans="1:14" s="78" customFormat="1" ht="25.5" x14ac:dyDescent="0.2">
      <c r="A36" s="31" t="s">
        <v>77</v>
      </c>
      <c r="B36" s="26">
        <v>900</v>
      </c>
      <c r="C36" s="27" t="s">
        <v>12</v>
      </c>
      <c r="D36" s="27" t="s">
        <v>62</v>
      </c>
      <c r="E36" s="27" t="s">
        <v>159</v>
      </c>
      <c r="F36" s="27" t="s">
        <v>69</v>
      </c>
      <c r="G36" s="28"/>
      <c r="H36" s="28"/>
      <c r="I36" s="28"/>
      <c r="J36" s="77"/>
      <c r="K36" s="77"/>
      <c r="L36" s="77"/>
    </row>
    <row r="37" spans="1:14" s="77" customFormat="1" x14ac:dyDescent="0.2">
      <c r="A37" s="18" t="s">
        <v>182</v>
      </c>
      <c r="B37" s="22">
        <v>900</v>
      </c>
      <c r="C37" s="19" t="s">
        <v>12</v>
      </c>
      <c r="D37" s="19" t="s">
        <v>62</v>
      </c>
      <c r="E37" s="19" t="s">
        <v>183</v>
      </c>
      <c r="F37" s="19"/>
      <c r="G37" s="20">
        <f>G38</f>
        <v>11161.7</v>
      </c>
      <c r="H37" s="20">
        <f>H38</f>
        <v>11161.7</v>
      </c>
      <c r="I37" s="20">
        <f>I38</f>
        <v>11161.7</v>
      </c>
    </row>
    <row r="38" spans="1:14" s="78" customFormat="1" ht="25.5" x14ac:dyDescent="0.2">
      <c r="A38" s="31" t="s">
        <v>169</v>
      </c>
      <c r="B38" s="35">
        <v>900</v>
      </c>
      <c r="C38" s="27" t="s">
        <v>12</v>
      </c>
      <c r="D38" s="27" t="s">
        <v>62</v>
      </c>
      <c r="E38" s="27" t="s">
        <v>183</v>
      </c>
      <c r="F38" s="27" t="s">
        <v>66</v>
      </c>
      <c r="G38" s="28">
        <f>10957.1+204.6</f>
        <v>11161.7</v>
      </c>
      <c r="H38" s="28">
        <f t="shared" ref="H38:I38" si="7">10957.1+204.6</f>
        <v>11161.7</v>
      </c>
      <c r="I38" s="28">
        <f t="shared" si="7"/>
        <v>11161.7</v>
      </c>
      <c r="J38" s="77"/>
      <c r="K38" s="77"/>
      <c r="L38" s="77"/>
      <c r="M38" s="77"/>
      <c r="N38" s="77"/>
    </row>
    <row r="39" spans="1:14" ht="25.5" x14ac:dyDescent="0.2">
      <c r="A39" s="17" t="s">
        <v>200</v>
      </c>
      <c r="B39" s="17">
        <v>900</v>
      </c>
      <c r="C39" s="19" t="s">
        <v>12</v>
      </c>
      <c r="D39" s="19" t="s">
        <v>62</v>
      </c>
      <c r="E39" s="19" t="s">
        <v>199</v>
      </c>
      <c r="F39" s="5"/>
      <c r="G39" s="6">
        <f>G40</f>
        <v>108.3</v>
      </c>
      <c r="H39" s="6">
        <f>H40</f>
        <v>108.3</v>
      </c>
      <c r="I39" s="6">
        <f>I40</f>
        <v>108.3</v>
      </c>
    </row>
    <row r="40" spans="1:14" ht="25.5" x14ac:dyDescent="0.2">
      <c r="A40" s="31" t="s">
        <v>169</v>
      </c>
      <c r="B40" s="31">
        <v>900</v>
      </c>
      <c r="C40" s="27" t="s">
        <v>12</v>
      </c>
      <c r="D40" s="27" t="s">
        <v>62</v>
      </c>
      <c r="E40" s="27" t="s">
        <v>199</v>
      </c>
      <c r="F40" s="27" t="s">
        <v>66</v>
      </c>
      <c r="G40" s="28">
        <f>67+41.3</f>
        <v>108.3</v>
      </c>
      <c r="H40" s="28">
        <f>67+41.3</f>
        <v>108.3</v>
      </c>
      <c r="I40" s="28">
        <f>67+41.3</f>
        <v>108.3</v>
      </c>
    </row>
    <row r="41" spans="1:14" x14ac:dyDescent="0.2">
      <c r="A41" s="18" t="s">
        <v>242</v>
      </c>
      <c r="B41" s="22">
        <v>900</v>
      </c>
      <c r="C41" s="19" t="s">
        <v>12</v>
      </c>
      <c r="D41" s="19" t="s">
        <v>62</v>
      </c>
      <c r="E41" s="19" t="s">
        <v>241</v>
      </c>
      <c r="F41" s="19"/>
      <c r="G41" s="20">
        <f>G42</f>
        <v>1153.9000000000001</v>
      </c>
      <c r="H41" s="20">
        <f t="shared" ref="H41:I41" si="8">H42</f>
        <v>0</v>
      </c>
      <c r="I41" s="20">
        <f t="shared" si="8"/>
        <v>0</v>
      </c>
    </row>
    <row r="42" spans="1:14" s="29" customFormat="1" ht="25.5" x14ac:dyDescent="0.2">
      <c r="A42" s="31" t="s">
        <v>84</v>
      </c>
      <c r="B42" s="35">
        <v>900</v>
      </c>
      <c r="C42" s="27" t="s">
        <v>12</v>
      </c>
      <c r="D42" s="27" t="s">
        <v>62</v>
      </c>
      <c r="E42" s="27" t="s">
        <v>241</v>
      </c>
      <c r="F42" s="27" t="s">
        <v>72</v>
      </c>
      <c r="G42" s="28">
        <v>1153.9000000000001</v>
      </c>
      <c r="H42" s="28">
        <v>0</v>
      </c>
      <c r="I42" s="28">
        <v>0</v>
      </c>
    </row>
    <row r="43" spans="1:14" ht="38.25" x14ac:dyDescent="0.2">
      <c r="A43" s="18" t="s">
        <v>184</v>
      </c>
      <c r="B43" s="22">
        <v>900</v>
      </c>
      <c r="C43" s="19" t="s">
        <v>12</v>
      </c>
      <c r="D43" s="19" t="s">
        <v>62</v>
      </c>
      <c r="E43" s="19" t="s">
        <v>96</v>
      </c>
      <c r="F43" s="19"/>
      <c r="G43" s="20">
        <f>G44</f>
        <v>120</v>
      </c>
      <c r="H43" s="20">
        <f>H44</f>
        <v>120</v>
      </c>
      <c r="I43" s="20">
        <f>I44</f>
        <v>120</v>
      </c>
    </row>
    <row r="44" spans="1:14" s="29" customFormat="1" ht="25.5" x14ac:dyDescent="0.2">
      <c r="A44" s="31" t="s">
        <v>169</v>
      </c>
      <c r="B44" s="35">
        <v>900</v>
      </c>
      <c r="C44" s="27" t="s">
        <v>12</v>
      </c>
      <c r="D44" s="27" t="s">
        <v>62</v>
      </c>
      <c r="E44" s="27" t="s">
        <v>96</v>
      </c>
      <c r="F44" s="27" t="s">
        <v>66</v>
      </c>
      <c r="G44" s="28">
        <f>120</f>
        <v>120</v>
      </c>
      <c r="H44" s="28">
        <f>120</f>
        <v>120</v>
      </c>
      <c r="I44" s="28">
        <f>120</f>
        <v>120</v>
      </c>
      <c r="J44" s="21"/>
      <c r="K44" s="21"/>
      <c r="L44" s="21"/>
      <c r="M44" s="21"/>
      <c r="N44" s="21"/>
    </row>
    <row r="45" spans="1:14" ht="38.25" x14ac:dyDescent="0.2">
      <c r="A45" s="17" t="s">
        <v>185</v>
      </c>
      <c r="B45" s="51">
        <v>900</v>
      </c>
      <c r="C45" s="19" t="s">
        <v>12</v>
      </c>
      <c r="D45" s="19" t="s">
        <v>62</v>
      </c>
      <c r="E45" s="19" t="s">
        <v>186</v>
      </c>
      <c r="F45" s="19"/>
      <c r="G45" s="20">
        <f>G46</f>
        <v>720</v>
      </c>
      <c r="H45" s="20">
        <f>H46</f>
        <v>720</v>
      </c>
      <c r="I45" s="20">
        <f>I46</f>
        <v>720</v>
      </c>
    </row>
    <row r="46" spans="1:14" s="29" customFormat="1" x14ac:dyDescent="0.2">
      <c r="A46" s="31" t="s">
        <v>70</v>
      </c>
      <c r="B46" s="35">
        <v>900</v>
      </c>
      <c r="C46" s="27" t="s">
        <v>12</v>
      </c>
      <c r="D46" s="27" t="s">
        <v>62</v>
      </c>
      <c r="E46" s="27" t="s">
        <v>186</v>
      </c>
      <c r="F46" s="27" t="s">
        <v>71</v>
      </c>
      <c r="G46" s="28">
        <f>720</f>
        <v>720</v>
      </c>
      <c r="H46" s="28">
        <f>720</f>
        <v>720</v>
      </c>
      <c r="I46" s="28">
        <f>720</f>
        <v>720</v>
      </c>
    </row>
    <row r="47" spans="1:14" s="12" customFormat="1" ht="25.5" x14ac:dyDescent="0.2">
      <c r="A47" s="66" t="s">
        <v>187</v>
      </c>
      <c r="B47" s="67">
        <v>900</v>
      </c>
      <c r="C47" s="19" t="s">
        <v>12</v>
      </c>
      <c r="D47" s="19" t="s">
        <v>62</v>
      </c>
      <c r="E47" s="5" t="s">
        <v>188</v>
      </c>
      <c r="F47" s="5"/>
      <c r="G47" s="6">
        <f>G48</f>
        <v>2888.2</v>
      </c>
      <c r="H47" s="6">
        <f>H48</f>
        <v>2888.2</v>
      </c>
      <c r="I47" s="6">
        <f>I48</f>
        <v>2888.2</v>
      </c>
    </row>
    <row r="48" spans="1:14" s="32" customFormat="1" ht="25.5" x14ac:dyDescent="0.2">
      <c r="A48" s="31" t="s">
        <v>169</v>
      </c>
      <c r="B48" s="35">
        <v>900</v>
      </c>
      <c r="C48" s="27" t="s">
        <v>12</v>
      </c>
      <c r="D48" s="27" t="s">
        <v>62</v>
      </c>
      <c r="E48" s="27" t="s">
        <v>188</v>
      </c>
      <c r="F48" s="27" t="s">
        <v>66</v>
      </c>
      <c r="G48" s="28">
        <v>2888.2</v>
      </c>
      <c r="H48" s="28">
        <v>2888.2</v>
      </c>
      <c r="I48" s="28">
        <v>2888.2</v>
      </c>
      <c r="J48" s="12"/>
      <c r="K48" s="12"/>
      <c r="L48" s="12"/>
      <c r="M48" s="12"/>
      <c r="N48" s="12"/>
    </row>
    <row r="49" spans="1:14" ht="102" x14ac:dyDescent="0.2">
      <c r="A49" s="54" t="s">
        <v>190</v>
      </c>
      <c r="B49" s="22">
        <v>900</v>
      </c>
      <c r="C49" s="19" t="s">
        <v>12</v>
      </c>
      <c r="D49" s="19" t="s">
        <v>62</v>
      </c>
      <c r="E49" s="19" t="s">
        <v>189</v>
      </c>
      <c r="F49" s="19"/>
      <c r="G49" s="20">
        <f>G50+G51</f>
        <v>4589.6000000000004</v>
      </c>
      <c r="H49" s="20">
        <f>H50+H51</f>
        <v>4589.6000000000004</v>
      </c>
      <c r="I49" s="20">
        <f>I50+I51</f>
        <v>4589.6000000000004</v>
      </c>
    </row>
    <row r="50" spans="1:14" s="29" customFormat="1" ht="63.75" x14ac:dyDescent="0.2">
      <c r="A50" s="26" t="s">
        <v>67</v>
      </c>
      <c r="B50" s="35">
        <v>900</v>
      </c>
      <c r="C50" s="27" t="s">
        <v>12</v>
      </c>
      <c r="D50" s="27" t="s">
        <v>62</v>
      </c>
      <c r="E50" s="27" t="s">
        <v>189</v>
      </c>
      <c r="F50" s="30" t="s">
        <v>68</v>
      </c>
      <c r="G50" s="28">
        <v>4534.3</v>
      </c>
      <c r="H50" s="28">
        <v>4534.3</v>
      </c>
      <c r="I50" s="28">
        <v>4534.3</v>
      </c>
      <c r="J50" s="21"/>
      <c r="K50" s="21"/>
      <c r="L50" s="21"/>
      <c r="M50" s="21"/>
      <c r="N50" s="21"/>
    </row>
    <row r="51" spans="1:14" s="29" customFormat="1" ht="25.5" x14ac:dyDescent="0.2">
      <c r="A51" s="31" t="s">
        <v>77</v>
      </c>
      <c r="B51" s="35">
        <v>900</v>
      </c>
      <c r="C51" s="27" t="s">
        <v>12</v>
      </c>
      <c r="D51" s="27" t="s">
        <v>62</v>
      </c>
      <c r="E51" s="27" t="s">
        <v>189</v>
      </c>
      <c r="F51" s="30" t="s">
        <v>69</v>
      </c>
      <c r="G51" s="28">
        <v>55.3</v>
      </c>
      <c r="H51" s="28">
        <v>55.3</v>
      </c>
      <c r="I51" s="28">
        <v>55.3</v>
      </c>
      <c r="J51" s="21"/>
      <c r="K51" s="21"/>
      <c r="L51" s="21"/>
      <c r="M51" s="21"/>
      <c r="N51" s="21"/>
    </row>
    <row r="52" spans="1:14" s="29" customFormat="1" ht="63.75" x14ac:dyDescent="0.2">
      <c r="A52" s="54" t="s">
        <v>191</v>
      </c>
      <c r="B52" s="54">
        <v>900</v>
      </c>
      <c r="C52" s="19" t="s">
        <v>12</v>
      </c>
      <c r="D52" s="19" t="s">
        <v>62</v>
      </c>
      <c r="E52" s="19" t="s">
        <v>192</v>
      </c>
      <c r="F52" s="19"/>
      <c r="G52" s="20">
        <f>G53</f>
        <v>234.4</v>
      </c>
      <c r="H52" s="20">
        <f>H53</f>
        <v>234.4</v>
      </c>
      <c r="I52" s="20">
        <f>I53</f>
        <v>234.4</v>
      </c>
    </row>
    <row r="53" spans="1:14" ht="25.5" x14ac:dyDescent="0.2">
      <c r="A53" s="31" t="s">
        <v>77</v>
      </c>
      <c r="B53" s="26">
        <v>900</v>
      </c>
      <c r="C53" s="27" t="s">
        <v>12</v>
      </c>
      <c r="D53" s="27" t="s">
        <v>62</v>
      </c>
      <c r="E53" s="27" t="s">
        <v>192</v>
      </c>
      <c r="F53" s="30" t="s">
        <v>69</v>
      </c>
      <c r="G53" s="28">
        <f>234.4</f>
        <v>234.4</v>
      </c>
      <c r="H53" s="28">
        <f t="shared" ref="H53:I53" si="9">234.4</f>
        <v>234.4</v>
      </c>
      <c r="I53" s="28">
        <f t="shared" si="9"/>
        <v>234.4</v>
      </c>
    </row>
    <row r="54" spans="1:14" s="3" customFormat="1" ht="25.5" x14ac:dyDescent="0.2">
      <c r="A54" s="13" t="s">
        <v>5</v>
      </c>
      <c r="B54" s="50">
        <v>900</v>
      </c>
      <c r="C54" s="1" t="s">
        <v>16</v>
      </c>
      <c r="D54" s="1"/>
      <c r="E54" s="1"/>
      <c r="F54" s="1"/>
      <c r="G54" s="2">
        <f>G55</f>
        <v>2630</v>
      </c>
      <c r="H54" s="2">
        <f>H55</f>
        <v>2630</v>
      </c>
      <c r="I54" s="2">
        <f>I55</f>
        <v>2630</v>
      </c>
    </row>
    <row r="55" spans="1:14" s="9" customFormat="1" ht="38.25" x14ac:dyDescent="0.2">
      <c r="A55" s="11" t="s">
        <v>82</v>
      </c>
      <c r="B55" s="14">
        <v>900</v>
      </c>
      <c r="C55" s="8" t="s">
        <v>16</v>
      </c>
      <c r="D55" s="8" t="s">
        <v>26</v>
      </c>
      <c r="E55" s="8"/>
      <c r="F55" s="8"/>
      <c r="G55" s="4">
        <f>G56+G62+G64+G66+G60</f>
        <v>2630</v>
      </c>
      <c r="H55" s="4">
        <f t="shared" ref="H55:I55" si="10">H56+H62+H64+H66+H60</f>
        <v>2630</v>
      </c>
      <c r="I55" s="4">
        <f t="shared" si="10"/>
        <v>2630</v>
      </c>
    </row>
    <row r="56" spans="1:14" ht="38.25" x14ac:dyDescent="0.2">
      <c r="A56" s="54" t="s">
        <v>194</v>
      </c>
      <c r="B56" s="52">
        <v>900</v>
      </c>
      <c r="C56" s="19" t="s">
        <v>16</v>
      </c>
      <c r="D56" s="19" t="s">
        <v>26</v>
      </c>
      <c r="E56" s="19" t="s">
        <v>193</v>
      </c>
      <c r="F56" s="19"/>
      <c r="G56" s="20">
        <f>G57+G58+G59</f>
        <v>2509</v>
      </c>
      <c r="H56" s="20">
        <f>H57+H58+H59</f>
        <v>2509</v>
      </c>
      <c r="I56" s="20">
        <f>I57+I58+I59</f>
        <v>2509</v>
      </c>
    </row>
    <row r="57" spans="1:14" s="29" customFormat="1" ht="51" customHeight="1" x14ac:dyDescent="0.2">
      <c r="A57" s="34" t="s">
        <v>67</v>
      </c>
      <c r="B57" s="36">
        <v>900</v>
      </c>
      <c r="C57" s="27" t="s">
        <v>16</v>
      </c>
      <c r="D57" s="27" t="s">
        <v>26</v>
      </c>
      <c r="E57" s="27" t="s">
        <v>193</v>
      </c>
      <c r="F57" s="30" t="s">
        <v>68</v>
      </c>
      <c r="G57" s="28">
        <f>2118.5</f>
        <v>2118.5</v>
      </c>
      <c r="H57" s="28">
        <f t="shared" ref="H57:I57" si="11">2118.5</f>
        <v>2118.5</v>
      </c>
      <c r="I57" s="28">
        <f t="shared" si="11"/>
        <v>2118.5</v>
      </c>
    </row>
    <row r="58" spans="1:14" s="29" customFormat="1" ht="25.5" x14ac:dyDescent="0.2">
      <c r="A58" s="31" t="s">
        <v>77</v>
      </c>
      <c r="B58" s="36">
        <v>900</v>
      </c>
      <c r="C58" s="27" t="s">
        <v>16</v>
      </c>
      <c r="D58" s="27" t="s">
        <v>26</v>
      </c>
      <c r="E58" s="27" t="s">
        <v>193</v>
      </c>
      <c r="F58" s="30" t="s">
        <v>69</v>
      </c>
      <c r="G58" s="28">
        <v>386.6</v>
      </c>
      <c r="H58" s="28">
        <v>386.6</v>
      </c>
      <c r="I58" s="28">
        <v>386.6</v>
      </c>
    </row>
    <row r="59" spans="1:14" s="29" customFormat="1" x14ac:dyDescent="0.2">
      <c r="A59" s="31" t="s">
        <v>73</v>
      </c>
      <c r="B59" s="35">
        <v>900</v>
      </c>
      <c r="C59" s="27" t="s">
        <v>16</v>
      </c>
      <c r="D59" s="27" t="s">
        <v>26</v>
      </c>
      <c r="E59" s="27" t="s">
        <v>193</v>
      </c>
      <c r="F59" s="27" t="s">
        <v>74</v>
      </c>
      <c r="G59" s="28">
        <v>3.9</v>
      </c>
      <c r="H59" s="28">
        <v>3.9</v>
      </c>
      <c r="I59" s="28">
        <v>3.9</v>
      </c>
    </row>
    <row r="60" spans="1:14" s="29" customFormat="1" x14ac:dyDescent="0.2">
      <c r="A60" s="74" t="s">
        <v>196</v>
      </c>
      <c r="B60" s="74">
        <v>900</v>
      </c>
      <c r="C60" s="19" t="s">
        <v>16</v>
      </c>
      <c r="D60" s="19" t="s">
        <v>26</v>
      </c>
      <c r="E60" s="19" t="s">
        <v>195</v>
      </c>
      <c r="F60" s="19"/>
      <c r="G60" s="20">
        <f>G61</f>
        <v>0</v>
      </c>
      <c r="H60" s="20">
        <f>H61</f>
        <v>0</v>
      </c>
      <c r="I60" s="20">
        <f>I61</f>
        <v>0</v>
      </c>
    </row>
    <row r="61" spans="1:14" s="29" customFormat="1" ht="25.5" x14ac:dyDescent="0.2">
      <c r="A61" s="31" t="s">
        <v>77</v>
      </c>
      <c r="B61" s="26">
        <v>900</v>
      </c>
      <c r="C61" s="27" t="s">
        <v>16</v>
      </c>
      <c r="D61" s="27" t="s">
        <v>26</v>
      </c>
      <c r="E61" s="27" t="s">
        <v>195</v>
      </c>
      <c r="F61" s="30" t="s">
        <v>69</v>
      </c>
      <c r="G61" s="28"/>
      <c r="H61" s="28"/>
      <c r="I61" s="28"/>
    </row>
    <row r="62" spans="1:14" s="12" customFormat="1" ht="25.5" x14ac:dyDescent="0.2">
      <c r="A62" s="17" t="s">
        <v>200</v>
      </c>
      <c r="B62" s="51">
        <v>900</v>
      </c>
      <c r="C62" s="19" t="s">
        <v>16</v>
      </c>
      <c r="D62" s="19" t="s">
        <v>26</v>
      </c>
      <c r="E62" s="19" t="s">
        <v>199</v>
      </c>
      <c r="F62" s="5"/>
      <c r="G62" s="6">
        <f>G63</f>
        <v>1</v>
      </c>
      <c r="H62" s="6">
        <f>H63</f>
        <v>1</v>
      </c>
      <c r="I62" s="6">
        <f>I63</f>
        <v>1</v>
      </c>
    </row>
    <row r="63" spans="1:14" s="29" customFormat="1" ht="25.5" x14ac:dyDescent="0.2">
      <c r="A63" s="31" t="s">
        <v>77</v>
      </c>
      <c r="B63" s="36">
        <v>900</v>
      </c>
      <c r="C63" s="27" t="s">
        <v>16</v>
      </c>
      <c r="D63" s="27" t="s">
        <v>26</v>
      </c>
      <c r="E63" s="27" t="s">
        <v>199</v>
      </c>
      <c r="F63" s="30" t="s">
        <v>69</v>
      </c>
      <c r="G63" s="28">
        <v>1</v>
      </c>
      <c r="H63" s="28">
        <v>1</v>
      </c>
      <c r="I63" s="28">
        <v>1</v>
      </c>
    </row>
    <row r="64" spans="1:14" s="12" customFormat="1" x14ac:dyDescent="0.2">
      <c r="A64" s="17" t="s">
        <v>201</v>
      </c>
      <c r="B64" s="51">
        <v>900</v>
      </c>
      <c r="C64" s="19" t="s">
        <v>16</v>
      </c>
      <c r="D64" s="19" t="s">
        <v>26</v>
      </c>
      <c r="E64" s="19" t="s">
        <v>202</v>
      </c>
      <c r="F64" s="5"/>
      <c r="G64" s="6">
        <f>G65</f>
        <v>87</v>
      </c>
      <c r="H64" s="6">
        <f>H65</f>
        <v>87</v>
      </c>
      <c r="I64" s="6">
        <f>I65</f>
        <v>87</v>
      </c>
    </row>
    <row r="65" spans="1:14" s="29" customFormat="1" ht="25.5" x14ac:dyDescent="0.2">
      <c r="A65" s="31" t="s">
        <v>77</v>
      </c>
      <c r="B65" s="36">
        <v>900</v>
      </c>
      <c r="C65" s="27" t="s">
        <v>16</v>
      </c>
      <c r="D65" s="27" t="s">
        <v>26</v>
      </c>
      <c r="E65" s="27" t="s">
        <v>202</v>
      </c>
      <c r="F65" s="30" t="s">
        <v>69</v>
      </c>
      <c r="G65" s="28">
        <v>87</v>
      </c>
      <c r="H65" s="28">
        <v>87</v>
      </c>
      <c r="I65" s="28">
        <v>87</v>
      </c>
    </row>
    <row r="66" spans="1:14" s="12" customFormat="1" ht="25.5" x14ac:dyDescent="0.2">
      <c r="A66" s="17" t="s">
        <v>203</v>
      </c>
      <c r="B66" s="51">
        <v>900</v>
      </c>
      <c r="C66" s="19" t="s">
        <v>16</v>
      </c>
      <c r="D66" s="19" t="s">
        <v>26</v>
      </c>
      <c r="E66" s="19" t="s">
        <v>204</v>
      </c>
      <c r="F66" s="5"/>
      <c r="G66" s="6">
        <f>G67</f>
        <v>33</v>
      </c>
      <c r="H66" s="6">
        <f>H67</f>
        <v>33</v>
      </c>
      <c r="I66" s="6">
        <f>I67</f>
        <v>33</v>
      </c>
    </row>
    <row r="67" spans="1:14" s="29" customFormat="1" x14ac:dyDescent="0.2">
      <c r="A67" s="31" t="s">
        <v>70</v>
      </c>
      <c r="B67" s="36">
        <v>900</v>
      </c>
      <c r="C67" s="27" t="s">
        <v>16</v>
      </c>
      <c r="D67" s="27" t="s">
        <v>26</v>
      </c>
      <c r="E67" s="19" t="s">
        <v>204</v>
      </c>
      <c r="F67" s="30" t="s">
        <v>71</v>
      </c>
      <c r="G67" s="28">
        <v>33</v>
      </c>
      <c r="H67" s="28">
        <v>33</v>
      </c>
      <c r="I67" s="28">
        <v>33</v>
      </c>
    </row>
    <row r="68" spans="1:14" s="3" customFormat="1" x14ac:dyDescent="0.2">
      <c r="A68" s="13" t="s">
        <v>27</v>
      </c>
      <c r="B68" s="50">
        <v>900</v>
      </c>
      <c r="C68" s="1" t="s">
        <v>18</v>
      </c>
      <c r="D68" s="1"/>
      <c r="E68" s="1"/>
      <c r="F68" s="1"/>
      <c r="G68" s="2">
        <f>G69+G72</f>
        <v>355736.7</v>
      </c>
      <c r="H68" s="2">
        <f>H69+H72</f>
        <v>194019.19999999998</v>
      </c>
      <c r="I68" s="2">
        <f>I69+I72</f>
        <v>247711.6</v>
      </c>
    </row>
    <row r="69" spans="1:14" s="9" customFormat="1" x14ac:dyDescent="0.2">
      <c r="A69" s="11" t="s">
        <v>28</v>
      </c>
      <c r="B69" s="14">
        <v>900</v>
      </c>
      <c r="C69" s="8" t="s">
        <v>18</v>
      </c>
      <c r="D69" s="8" t="s">
        <v>14</v>
      </c>
      <c r="E69" s="8"/>
      <c r="F69" s="8"/>
      <c r="G69" s="4">
        <f t="shared" ref="G69:I70" si="12">G70</f>
        <v>355565.8</v>
      </c>
      <c r="H69" s="4">
        <f t="shared" si="12"/>
        <v>193848.3</v>
      </c>
      <c r="I69" s="4">
        <f t="shared" si="12"/>
        <v>247540.7</v>
      </c>
    </row>
    <row r="70" spans="1:14" ht="25.5" x14ac:dyDescent="0.2">
      <c r="A70" s="18" t="s">
        <v>208</v>
      </c>
      <c r="B70" s="22">
        <v>900</v>
      </c>
      <c r="C70" s="19" t="s">
        <v>18</v>
      </c>
      <c r="D70" s="19" t="s">
        <v>14</v>
      </c>
      <c r="E70" s="19" t="s">
        <v>100</v>
      </c>
      <c r="F70" s="19"/>
      <c r="G70" s="20">
        <f t="shared" si="12"/>
        <v>355565.8</v>
      </c>
      <c r="H70" s="20">
        <f t="shared" si="12"/>
        <v>193848.3</v>
      </c>
      <c r="I70" s="20">
        <f t="shared" si="12"/>
        <v>247540.7</v>
      </c>
    </row>
    <row r="71" spans="1:14" s="29" customFormat="1" x14ac:dyDescent="0.2">
      <c r="A71" s="31" t="s">
        <v>70</v>
      </c>
      <c r="B71" s="35">
        <v>900</v>
      </c>
      <c r="C71" s="27" t="s">
        <v>18</v>
      </c>
      <c r="D71" s="27" t="s">
        <v>14</v>
      </c>
      <c r="E71" s="27" t="s">
        <v>100</v>
      </c>
      <c r="F71" s="27" t="s">
        <v>71</v>
      </c>
      <c r="G71" s="28">
        <v>355565.8</v>
      </c>
      <c r="H71" s="28">
        <v>193848.3</v>
      </c>
      <c r="I71" s="28">
        <v>247540.7</v>
      </c>
      <c r="J71" s="21"/>
      <c r="K71" s="21"/>
      <c r="L71" s="21"/>
      <c r="M71" s="21"/>
      <c r="N71" s="21"/>
    </row>
    <row r="72" spans="1:14" s="9" customFormat="1" x14ac:dyDescent="0.2">
      <c r="A72" s="11" t="s">
        <v>29</v>
      </c>
      <c r="B72" s="14">
        <v>900</v>
      </c>
      <c r="C72" s="8" t="s">
        <v>18</v>
      </c>
      <c r="D72" s="8" t="s">
        <v>23</v>
      </c>
      <c r="E72" s="8"/>
      <c r="F72" s="8"/>
      <c r="G72" s="4">
        <f>G73+G75+G93+G95+G97+G99+G77+G81+G85+G89+G79+G83+G91+G87</f>
        <v>170.9</v>
      </c>
      <c r="H72" s="4">
        <f>H73+H75+H93+H95+H97+H99+H77+H81+H85+H89+H79+H83+H91+H87</f>
        <v>170.9</v>
      </c>
      <c r="I72" s="4">
        <f>I73+I75+I93+I95+I97+I99+I77+I81+I85+I89+I79+I83+I91+I87</f>
        <v>170.9</v>
      </c>
    </row>
    <row r="73" spans="1:14" ht="25.5" x14ac:dyDescent="0.2">
      <c r="A73" s="18" t="s">
        <v>206</v>
      </c>
      <c r="B73" s="22">
        <v>900</v>
      </c>
      <c r="C73" s="19" t="s">
        <v>18</v>
      </c>
      <c r="D73" s="19" t="s">
        <v>23</v>
      </c>
      <c r="E73" s="19" t="s">
        <v>205</v>
      </c>
      <c r="F73" s="19"/>
      <c r="G73" s="20">
        <f>G74</f>
        <v>75</v>
      </c>
      <c r="H73" s="20">
        <f>H74</f>
        <v>75</v>
      </c>
      <c r="I73" s="20">
        <f>I74</f>
        <v>75</v>
      </c>
    </row>
    <row r="74" spans="1:14" s="29" customFormat="1" ht="25.5" x14ac:dyDescent="0.2">
      <c r="A74" s="31" t="s">
        <v>77</v>
      </c>
      <c r="B74" s="35">
        <v>900</v>
      </c>
      <c r="C74" s="27" t="s">
        <v>18</v>
      </c>
      <c r="D74" s="27" t="s">
        <v>23</v>
      </c>
      <c r="E74" s="27" t="s">
        <v>205</v>
      </c>
      <c r="F74" s="27" t="s">
        <v>69</v>
      </c>
      <c r="G74" s="28">
        <v>75</v>
      </c>
      <c r="H74" s="28">
        <v>75</v>
      </c>
      <c r="I74" s="28">
        <v>75</v>
      </c>
    </row>
    <row r="75" spans="1:14" ht="25.5" x14ac:dyDescent="0.2">
      <c r="A75" s="18" t="s">
        <v>207</v>
      </c>
      <c r="B75" s="17">
        <v>900</v>
      </c>
      <c r="C75" s="19" t="s">
        <v>18</v>
      </c>
      <c r="D75" s="19" t="s">
        <v>23</v>
      </c>
      <c r="E75" s="19" t="s">
        <v>149</v>
      </c>
      <c r="F75" s="19"/>
      <c r="G75" s="20">
        <f>G76</f>
        <v>95.9</v>
      </c>
      <c r="H75" s="20">
        <f>H76</f>
        <v>95.9</v>
      </c>
      <c r="I75" s="20">
        <f>I76</f>
        <v>95.9</v>
      </c>
    </row>
    <row r="76" spans="1:14" s="29" customFormat="1" x14ac:dyDescent="0.2">
      <c r="A76" s="31" t="s">
        <v>73</v>
      </c>
      <c r="B76" s="26">
        <v>900</v>
      </c>
      <c r="C76" s="27" t="s">
        <v>18</v>
      </c>
      <c r="D76" s="27" t="s">
        <v>23</v>
      </c>
      <c r="E76" s="27" t="s">
        <v>149</v>
      </c>
      <c r="F76" s="30" t="s">
        <v>74</v>
      </c>
      <c r="G76" s="28">
        <v>95.9</v>
      </c>
      <c r="H76" s="28">
        <v>95.9</v>
      </c>
      <c r="I76" s="28">
        <v>95.9</v>
      </c>
    </row>
    <row r="77" spans="1:14" s="79" customFormat="1" ht="76.5" x14ac:dyDescent="0.2">
      <c r="A77" s="18" t="s">
        <v>210</v>
      </c>
      <c r="B77" s="18">
        <v>900</v>
      </c>
      <c r="C77" s="19" t="s">
        <v>18</v>
      </c>
      <c r="D77" s="19" t="s">
        <v>23</v>
      </c>
      <c r="E77" s="19" t="s">
        <v>209</v>
      </c>
      <c r="F77" s="19"/>
      <c r="G77" s="20">
        <f>G78</f>
        <v>0</v>
      </c>
      <c r="H77" s="20">
        <f>H78</f>
        <v>0</v>
      </c>
      <c r="I77" s="20">
        <f>I78</f>
        <v>0</v>
      </c>
    </row>
    <row r="78" spans="1:14" s="80" customFormat="1" ht="25.5" x14ac:dyDescent="0.2">
      <c r="A78" s="31" t="s">
        <v>84</v>
      </c>
      <c r="B78" s="31">
        <v>900</v>
      </c>
      <c r="C78" s="27" t="s">
        <v>18</v>
      </c>
      <c r="D78" s="27" t="s">
        <v>23</v>
      </c>
      <c r="E78" s="27" t="s">
        <v>209</v>
      </c>
      <c r="F78" s="27" t="s">
        <v>72</v>
      </c>
      <c r="G78" s="28"/>
      <c r="H78" s="28"/>
      <c r="I78" s="28"/>
    </row>
    <row r="79" spans="1:14" s="79" customFormat="1" ht="127.5" x14ac:dyDescent="0.2">
      <c r="A79" s="18" t="s">
        <v>212</v>
      </c>
      <c r="B79" s="18">
        <v>900</v>
      </c>
      <c r="C79" s="19" t="s">
        <v>18</v>
      </c>
      <c r="D79" s="19" t="s">
        <v>23</v>
      </c>
      <c r="E79" s="19" t="s">
        <v>211</v>
      </c>
      <c r="F79" s="19"/>
      <c r="G79" s="20">
        <f>G80</f>
        <v>0</v>
      </c>
      <c r="H79" s="20">
        <f>H80</f>
        <v>0</v>
      </c>
      <c r="I79" s="20">
        <f>I80</f>
        <v>0</v>
      </c>
    </row>
    <row r="80" spans="1:14" s="80" customFormat="1" ht="25.5" x14ac:dyDescent="0.2">
      <c r="A80" s="31" t="s">
        <v>84</v>
      </c>
      <c r="B80" s="31">
        <v>900</v>
      </c>
      <c r="C80" s="27" t="s">
        <v>18</v>
      </c>
      <c r="D80" s="27" t="s">
        <v>23</v>
      </c>
      <c r="E80" s="27" t="s">
        <v>211</v>
      </c>
      <c r="F80" s="27" t="s">
        <v>72</v>
      </c>
      <c r="G80" s="28"/>
      <c r="H80" s="28"/>
      <c r="I80" s="28"/>
    </row>
    <row r="81" spans="1:9" s="79" customFormat="1" ht="89.25" x14ac:dyDescent="0.2">
      <c r="A81" s="18" t="s">
        <v>214</v>
      </c>
      <c r="B81" s="18">
        <v>900</v>
      </c>
      <c r="C81" s="19" t="s">
        <v>18</v>
      </c>
      <c r="D81" s="19" t="s">
        <v>23</v>
      </c>
      <c r="E81" s="19" t="s">
        <v>213</v>
      </c>
      <c r="F81" s="19"/>
      <c r="G81" s="20">
        <f>G82</f>
        <v>0</v>
      </c>
      <c r="H81" s="20">
        <f>H82</f>
        <v>0</v>
      </c>
      <c r="I81" s="20">
        <f>I82</f>
        <v>0</v>
      </c>
    </row>
    <row r="82" spans="1:9" s="80" customFormat="1" ht="25.5" x14ac:dyDescent="0.2">
      <c r="A82" s="31" t="s">
        <v>84</v>
      </c>
      <c r="B82" s="31">
        <v>900</v>
      </c>
      <c r="C82" s="27" t="s">
        <v>18</v>
      </c>
      <c r="D82" s="27" t="s">
        <v>23</v>
      </c>
      <c r="E82" s="27" t="s">
        <v>213</v>
      </c>
      <c r="F82" s="27" t="s">
        <v>72</v>
      </c>
      <c r="G82" s="28"/>
      <c r="H82" s="28"/>
      <c r="I82" s="28"/>
    </row>
    <row r="83" spans="1:9" s="79" customFormat="1" ht="63.75" x14ac:dyDescent="0.2">
      <c r="A83" s="18" t="s">
        <v>216</v>
      </c>
      <c r="B83" s="18">
        <v>900</v>
      </c>
      <c r="C83" s="19" t="s">
        <v>18</v>
      </c>
      <c r="D83" s="19" t="s">
        <v>23</v>
      </c>
      <c r="E83" s="19" t="s">
        <v>215</v>
      </c>
      <c r="F83" s="19"/>
      <c r="G83" s="20">
        <f>G84</f>
        <v>0</v>
      </c>
      <c r="H83" s="20">
        <f>H84</f>
        <v>0</v>
      </c>
      <c r="I83" s="20">
        <f>I84</f>
        <v>0</v>
      </c>
    </row>
    <row r="84" spans="1:9" s="80" customFormat="1" ht="25.5" x14ac:dyDescent="0.2">
      <c r="A84" s="31" t="s">
        <v>84</v>
      </c>
      <c r="B84" s="31">
        <v>900</v>
      </c>
      <c r="C84" s="27" t="s">
        <v>18</v>
      </c>
      <c r="D84" s="27" t="s">
        <v>23</v>
      </c>
      <c r="E84" s="27" t="s">
        <v>215</v>
      </c>
      <c r="F84" s="27" t="s">
        <v>72</v>
      </c>
      <c r="G84" s="28"/>
      <c r="H84" s="28"/>
      <c r="I84" s="28"/>
    </row>
    <row r="85" spans="1:9" s="79" customFormat="1" ht="51" x14ac:dyDescent="0.2">
      <c r="A85" s="18" t="s">
        <v>218</v>
      </c>
      <c r="B85" s="18">
        <v>900</v>
      </c>
      <c r="C85" s="19" t="s">
        <v>18</v>
      </c>
      <c r="D85" s="19" t="s">
        <v>23</v>
      </c>
      <c r="E85" s="19" t="s">
        <v>217</v>
      </c>
      <c r="F85" s="19"/>
      <c r="G85" s="20">
        <f>G86</f>
        <v>0</v>
      </c>
      <c r="H85" s="20">
        <f>H86</f>
        <v>0</v>
      </c>
      <c r="I85" s="20">
        <f>I86</f>
        <v>0</v>
      </c>
    </row>
    <row r="86" spans="1:9" s="80" customFormat="1" ht="25.5" x14ac:dyDescent="0.2">
      <c r="A86" s="31" t="s">
        <v>84</v>
      </c>
      <c r="B86" s="31">
        <v>900</v>
      </c>
      <c r="C86" s="27" t="s">
        <v>18</v>
      </c>
      <c r="D86" s="27" t="s">
        <v>23</v>
      </c>
      <c r="E86" s="27" t="s">
        <v>217</v>
      </c>
      <c r="F86" s="27" t="s">
        <v>72</v>
      </c>
      <c r="G86" s="28"/>
      <c r="H86" s="28"/>
      <c r="I86" s="28"/>
    </row>
    <row r="87" spans="1:9" s="79" customFormat="1" ht="102" x14ac:dyDescent="0.2">
      <c r="A87" s="18" t="s">
        <v>220</v>
      </c>
      <c r="B87" s="18">
        <v>900</v>
      </c>
      <c r="C87" s="19" t="s">
        <v>18</v>
      </c>
      <c r="D87" s="19" t="s">
        <v>23</v>
      </c>
      <c r="E87" s="19" t="s">
        <v>219</v>
      </c>
      <c r="F87" s="19"/>
      <c r="G87" s="20">
        <f>G88</f>
        <v>0</v>
      </c>
      <c r="H87" s="20">
        <f>H88</f>
        <v>0</v>
      </c>
      <c r="I87" s="20">
        <f>I88</f>
        <v>0</v>
      </c>
    </row>
    <row r="88" spans="1:9" s="80" customFormat="1" ht="25.5" x14ac:dyDescent="0.2">
      <c r="A88" s="31" t="s">
        <v>84</v>
      </c>
      <c r="B88" s="31">
        <v>900</v>
      </c>
      <c r="C88" s="27" t="s">
        <v>18</v>
      </c>
      <c r="D88" s="27" t="s">
        <v>23</v>
      </c>
      <c r="E88" s="27" t="s">
        <v>219</v>
      </c>
      <c r="F88" s="27" t="s">
        <v>72</v>
      </c>
      <c r="G88" s="28"/>
      <c r="H88" s="28"/>
      <c r="I88" s="28"/>
    </row>
    <row r="89" spans="1:9" s="79" customFormat="1" ht="63.75" x14ac:dyDescent="0.2">
      <c r="A89" s="18" t="s">
        <v>222</v>
      </c>
      <c r="B89" s="18">
        <v>900</v>
      </c>
      <c r="C89" s="19" t="s">
        <v>18</v>
      </c>
      <c r="D89" s="19" t="s">
        <v>23</v>
      </c>
      <c r="E89" s="19" t="s">
        <v>221</v>
      </c>
      <c r="F89" s="19"/>
      <c r="G89" s="20">
        <f>G90</f>
        <v>0</v>
      </c>
      <c r="H89" s="20">
        <f>H90</f>
        <v>0</v>
      </c>
      <c r="I89" s="20">
        <f>I90</f>
        <v>0</v>
      </c>
    </row>
    <row r="90" spans="1:9" s="80" customFormat="1" ht="25.5" x14ac:dyDescent="0.2">
      <c r="A90" s="31" t="s">
        <v>84</v>
      </c>
      <c r="B90" s="31">
        <v>900</v>
      </c>
      <c r="C90" s="27" t="s">
        <v>18</v>
      </c>
      <c r="D90" s="27" t="s">
        <v>23</v>
      </c>
      <c r="E90" s="27" t="s">
        <v>221</v>
      </c>
      <c r="F90" s="27" t="s">
        <v>72</v>
      </c>
      <c r="G90" s="28"/>
      <c r="H90" s="28"/>
      <c r="I90" s="28"/>
    </row>
    <row r="91" spans="1:9" s="79" customFormat="1" ht="38.25" x14ac:dyDescent="0.2">
      <c r="A91" s="18" t="s">
        <v>224</v>
      </c>
      <c r="B91" s="18">
        <v>900</v>
      </c>
      <c r="C91" s="19" t="s">
        <v>18</v>
      </c>
      <c r="D91" s="19" t="s">
        <v>23</v>
      </c>
      <c r="E91" s="19" t="s">
        <v>223</v>
      </c>
      <c r="F91" s="19"/>
      <c r="G91" s="20">
        <f>G92</f>
        <v>0</v>
      </c>
      <c r="H91" s="20">
        <f>H92</f>
        <v>0</v>
      </c>
      <c r="I91" s="20">
        <f>I92</f>
        <v>0</v>
      </c>
    </row>
    <row r="92" spans="1:9" s="80" customFormat="1" ht="25.5" x14ac:dyDescent="0.2">
      <c r="A92" s="31" t="s">
        <v>84</v>
      </c>
      <c r="B92" s="31">
        <v>900</v>
      </c>
      <c r="C92" s="27" t="s">
        <v>18</v>
      </c>
      <c r="D92" s="27" t="s">
        <v>23</v>
      </c>
      <c r="E92" s="27" t="s">
        <v>223</v>
      </c>
      <c r="F92" s="27" t="s">
        <v>72</v>
      </c>
      <c r="G92" s="28"/>
      <c r="H92" s="28"/>
      <c r="I92" s="28"/>
    </row>
    <row r="93" spans="1:9" s="75" customFormat="1" ht="38.25" x14ac:dyDescent="0.2">
      <c r="A93" s="18" t="s">
        <v>229</v>
      </c>
      <c r="B93" s="18">
        <v>900</v>
      </c>
      <c r="C93" s="19" t="s">
        <v>18</v>
      </c>
      <c r="D93" s="19" t="s">
        <v>23</v>
      </c>
      <c r="E93" s="19" t="s">
        <v>225</v>
      </c>
      <c r="F93" s="19"/>
      <c r="G93" s="20">
        <f>G94</f>
        <v>0</v>
      </c>
      <c r="H93" s="20">
        <f>H94</f>
        <v>0</v>
      </c>
      <c r="I93" s="20">
        <f>I94</f>
        <v>0</v>
      </c>
    </row>
    <row r="94" spans="1:9" s="76" customFormat="1" ht="25.5" x14ac:dyDescent="0.2">
      <c r="A94" s="31" t="s">
        <v>84</v>
      </c>
      <c r="B94" s="31">
        <v>900</v>
      </c>
      <c r="C94" s="27" t="s">
        <v>18</v>
      </c>
      <c r="D94" s="27" t="s">
        <v>23</v>
      </c>
      <c r="E94" s="27" t="s">
        <v>225</v>
      </c>
      <c r="F94" s="27" t="s">
        <v>72</v>
      </c>
      <c r="G94" s="28"/>
      <c r="H94" s="28"/>
      <c r="I94" s="28"/>
    </row>
    <row r="95" spans="1:9" s="75" customFormat="1" ht="76.5" x14ac:dyDescent="0.2">
      <c r="A95" s="18" t="s">
        <v>230</v>
      </c>
      <c r="B95" s="18">
        <v>900</v>
      </c>
      <c r="C95" s="19" t="s">
        <v>18</v>
      </c>
      <c r="D95" s="19" t="s">
        <v>23</v>
      </c>
      <c r="E95" s="19" t="s">
        <v>226</v>
      </c>
      <c r="F95" s="19"/>
      <c r="G95" s="20">
        <f>G96</f>
        <v>0</v>
      </c>
      <c r="H95" s="20">
        <f>H96</f>
        <v>0</v>
      </c>
      <c r="I95" s="20">
        <f>I96</f>
        <v>0</v>
      </c>
    </row>
    <row r="96" spans="1:9" s="76" customFormat="1" ht="25.5" x14ac:dyDescent="0.2">
      <c r="A96" s="31" t="s">
        <v>84</v>
      </c>
      <c r="B96" s="31">
        <v>900</v>
      </c>
      <c r="C96" s="27" t="s">
        <v>18</v>
      </c>
      <c r="D96" s="27" t="s">
        <v>23</v>
      </c>
      <c r="E96" s="27" t="s">
        <v>226</v>
      </c>
      <c r="F96" s="27" t="s">
        <v>72</v>
      </c>
      <c r="G96" s="28"/>
      <c r="H96" s="28"/>
      <c r="I96" s="28"/>
    </row>
    <row r="97" spans="1:9" s="75" customFormat="1" ht="38.25" x14ac:dyDescent="0.2">
      <c r="A97" s="18" t="s">
        <v>231</v>
      </c>
      <c r="B97" s="18">
        <v>900</v>
      </c>
      <c r="C97" s="19" t="s">
        <v>18</v>
      </c>
      <c r="D97" s="19" t="s">
        <v>23</v>
      </c>
      <c r="E97" s="19" t="s">
        <v>227</v>
      </c>
      <c r="F97" s="19"/>
      <c r="G97" s="20">
        <f>G98</f>
        <v>0</v>
      </c>
      <c r="H97" s="20">
        <f>H98</f>
        <v>0</v>
      </c>
      <c r="I97" s="20">
        <f>I98</f>
        <v>0</v>
      </c>
    </row>
    <row r="98" spans="1:9" s="76" customFormat="1" ht="25.5" x14ac:dyDescent="0.2">
      <c r="A98" s="31" t="s">
        <v>84</v>
      </c>
      <c r="B98" s="31">
        <v>900</v>
      </c>
      <c r="C98" s="27" t="s">
        <v>18</v>
      </c>
      <c r="D98" s="27" t="s">
        <v>23</v>
      </c>
      <c r="E98" s="27" t="s">
        <v>227</v>
      </c>
      <c r="F98" s="27" t="s">
        <v>72</v>
      </c>
      <c r="G98" s="28"/>
      <c r="H98" s="28"/>
      <c r="I98" s="28"/>
    </row>
    <row r="99" spans="1:9" s="75" customFormat="1" x14ac:dyDescent="0.2">
      <c r="A99" s="18" t="s">
        <v>232</v>
      </c>
      <c r="B99" s="18">
        <v>900</v>
      </c>
      <c r="C99" s="19" t="s">
        <v>18</v>
      </c>
      <c r="D99" s="19" t="s">
        <v>23</v>
      </c>
      <c r="E99" s="19" t="s">
        <v>228</v>
      </c>
      <c r="F99" s="19"/>
      <c r="G99" s="20">
        <f>G100</f>
        <v>0</v>
      </c>
      <c r="H99" s="20">
        <f>H100</f>
        <v>0</v>
      </c>
      <c r="I99" s="20">
        <f>I100</f>
        <v>0</v>
      </c>
    </row>
    <row r="100" spans="1:9" s="76" customFormat="1" ht="25.5" x14ac:dyDescent="0.2">
      <c r="A100" s="31" t="s">
        <v>84</v>
      </c>
      <c r="B100" s="31">
        <v>900</v>
      </c>
      <c r="C100" s="27" t="s">
        <v>18</v>
      </c>
      <c r="D100" s="27" t="s">
        <v>23</v>
      </c>
      <c r="E100" s="27" t="s">
        <v>228</v>
      </c>
      <c r="F100" s="27" t="s">
        <v>72</v>
      </c>
      <c r="G100" s="28"/>
      <c r="H100" s="28"/>
      <c r="I100" s="28"/>
    </row>
    <row r="101" spans="1:9" s="3" customFormat="1" x14ac:dyDescent="0.2">
      <c r="A101" s="13" t="s">
        <v>30</v>
      </c>
      <c r="B101" s="50">
        <v>900</v>
      </c>
      <c r="C101" s="1" t="s">
        <v>31</v>
      </c>
      <c r="D101" s="1"/>
      <c r="E101" s="1"/>
      <c r="F101" s="1"/>
      <c r="G101" s="2">
        <f>G102</f>
        <v>44828.9</v>
      </c>
      <c r="H101" s="2">
        <f>H102</f>
        <v>18796.099999999999</v>
      </c>
      <c r="I101" s="2">
        <f>I102</f>
        <v>18796.099999999999</v>
      </c>
    </row>
    <row r="102" spans="1:9" s="9" customFormat="1" x14ac:dyDescent="0.2">
      <c r="A102" s="11" t="s">
        <v>32</v>
      </c>
      <c r="B102" s="14">
        <v>900</v>
      </c>
      <c r="C102" s="8" t="s">
        <v>31</v>
      </c>
      <c r="D102" s="8" t="s">
        <v>12</v>
      </c>
      <c r="E102" s="8"/>
      <c r="F102" s="8"/>
      <c r="G102" s="4">
        <f>G105+G107+G113+G116+G103+G111+G109</f>
        <v>44828.9</v>
      </c>
      <c r="H102" s="4">
        <f t="shared" ref="H102:I102" si="13">H105+H107+H113+H116+H103+H111+H109</f>
        <v>18796.099999999999</v>
      </c>
      <c r="I102" s="4">
        <f t="shared" si="13"/>
        <v>18796.099999999999</v>
      </c>
    </row>
    <row r="103" spans="1:9" s="77" customFormat="1" x14ac:dyDescent="0.2">
      <c r="A103" s="17" t="s">
        <v>235</v>
      </c>
      <c r="B103" s="17">
        <v>900</v>
      </c>
      <c r="C103" s="19" t="s">
        <v>31</v>
      </c>
      <c r="D103" s="19" t="s">
        <v>12</v>
      </c>
      <c r="E103" s="19" t="s">
        <v>162</v>
      </c>
      <c r="F103" s="19"/>
      <c r="G103" s="20">
        <f>G104</f>
        <v>0</v>
      </c>
      <c r="H103" s="20">
        <f>H104</f>
        <v>0</v>
      </c>
      <c r="I103" s="20">
        <f>I104</f>
        <v>0</v>
      </c>
    </row>
    <row r="104" spans="1:9" s="78" customFormat="1" ht="25.5" x14ac:dyDescent="0.2">
      <c r="A104" s="31" t="s">
        <v>84</v>
      </c>
      <c r="B104" s="31">
        <v>900</v>
      </c>
      <c r="C104" s="27" t="s">
        <v>31</v>
      </c>
      <c r="D104" s="27" t="s">
        <v>12</v>
      </c>
      <c r="E104" s="27" t="s">
        <v>162</v>
      </c>
      <c r="F104" s="27" t="s">
        <v>72</v>
      </c>
      <c r="G104" s="28"/>
      <c r="H104" s="28"/>
      <c r="I104" s="28"/>
    </row>
    <row r="105" spans="1:9" ht="63.75" x14ac:dyDescent="0.2">
      <c r="A105" s="17" t="s">
        <v>236</v>
      </c>
      <c r="B105" s="22">
        <v>900</v>
      </c>
      <c r="C105" s="19" t="s">
        <v>31</v>
      </c>
      <c r="D105" s="19" t="s">
        <v>12</v>
      </c>
      <c r="E105" s="19" t="s">
        <v>156</v>
      </c>
      <c r="F105" s="19"/>
      <c r="G105" s="20">
        <f>G106</f>
        <v>27186.7</v>
      </c>
      <c r="H105" s="20">
        <f>H106</f>
        <v>0</v>
      </c>
      <c r="I105" s="20">
        <f>I106</f>
        <v>0</v>
      </c>
    </row>
    <row r="106" spans="1:9" s="29" customFormat="1" ht="25.5" x14ac:dyDescent="0.2">
      <c r="A106" s="31" t="s">
        <v>84</v>
      </c>
      <c r="B106" s="35">
        <v>900</v>
      </c>
      <c r="C106" s="27" t="s">
        <v>31</v>
      </c>
      <c r="D106" s="27" t="s">
        <v>12</v>
      </c>
      <c r="E106" s="27" t="s">
        <v>156</v>
      </c>
      <c r="F106" s="27" t="s">
        <v>72</v>
      </c>
      <c r="G106" s="28">
        <v>27186.7</v>
      </c>
      <c r="H106" s="28">
        <v>0</v>
      </c>
      <c r="I106" s="28">
        <v>0</v>
      </c>
    </row>
    <row r="107" spans="1:9" ht="38.25" x14ac:dyDescent="0.2">
      <c r="A107" s="18" t="s">
        <v>240</v>
      </c>
      <c r="B107" s="22">
        <v>900</v>
      </c>
      <c r="C107" s="19" t="s">
        <v>31</v>
      </c>
      <c r="D107" s="19" t="s">
        <v>12</v>
      </c>
      <c r="E107" s="19" t="s">
        <v>239</v>
      </c>
      <c r="F107" s="19"/>
      <c r="G107" s="20">
        <f>G108</f>
        <v>2725</v>
      </c>
      <c r="H107" s="20">
        <f>H108</f>
        <v>0</v>
      </c>
      <c r="I107" s="20">
        <f>I108</f>
        <v>0</v>
      </c>
    </row>
    <row r="108" spans="1:9" s="29" customFormat="1" ht="25.5" x14ac:dyDescent="0.2">
      <c r="A108" s="31" t="s">
        <v>84</v>
      </c>
      <c r="B108" s="36">
        <v>900</v>
      </c>
      <c r="C108" s="27" t="s">
        <v>31</v>
      </c>
      <c r="D108" s="27" t="s">
        <v>12</v>
      </c>
      <c r="E108" s="19" t="s">
        <v>239</v>
      </c>
      <c r="F108" s="30" t="s">
        <v>72</v>
      </c>
      <c r="G108" s="28">
        <v>2725</v>
      </c>
      <c r="H108" s="28">
        <v>0</v>
      </c>
      <c r="I108" s="28">
        <v>0</v>
      </c>
    </row>
    <row r="109" spans="1:9" x14ac:dyDescent="0.2">
      <c r="A109" s="84" t="s">
        <v>235</v>
      </c>
      <c r="B109" s="22">
        <v>900</v>
      </c>
      <c r="C109" s="19" t="s">
        <v>31</v>
      </c>
      <c r="D109" s="19" t="s">
        <v>12</v>
      </c>
      <c r="E109" s="19" t="s">
        <v>460</v>
      </c>
      <c r="F109" s="19"/>
      <c r="G109" s="20">
        <f>G110</f>
        <v>2725</v>
      </c>
      <c r="H109" s="20">
        <f>H110</f>
        <v>0</v>
      </c>
      <c r="I109" s="20">
        <f>I110</f>
        <v>0</v>
      </c>
    </row>
    <row r="110" spans="1:9" s="29" customFormat="1" ht="25.5" x14ac:dyDescent="0.2">
      <c r="A110" s="31" t="s">
        <v>84</v>
      </c>
      <c r="B110" s="36">
        <v>900</v>
      </c>
      <c r="C110" s="27" t="s">
        <v>31</v>
      </c>
      <c r="D110" s="27" t="s">
        <v>12</v>
      </c>
      <c r="E110" s="27" t="s">
        <v>460</v>
      </c>
      <c r="F110" s="30" t="s">
        <v>72</v>
      </c>
      <c r="G110" s="28">
        <v>2725</v>
      </c>
      <c r="H110" s="28">
        <v>0</v>
      </c>
      <c r="I110" s="28">
        <v>0</v>
      </c>
    </row>
    <row r="111" spans="1:9" ht="25.5" x14ac:dyDescent="0.2">
      <c r="A111" s="18" t="s">
        <v>238</v>
      </c>
      <c r="B111" s="22">
        <v>900</v>
      </c>
      <c r="C111" s="19" t="s">
        <v>31</v>
      </c>
      <c r="D111" s="19" t="s">
        <v>12</v>
      </c>
      <c r="E111" s="19" t="s">
        <v>237</v>
      </c>
      <c r="F111" s="19"/>
      <c r="G111" s="20">
        <f>G112</f>
        <v>3983</v>
      </c>
      <c r="H111" s="20">
        <f>H112</f>
        <v>0</v>
      </c>
      <c r="I111" s="20">
        <f>I112</f>
        <v>0</v>
      </c>
    </row>
    <row r="112" spans="1:9" s="29" customFormat="1" ht="25.5" x14ac:dyDescent="0.2">
      <c r="A112" s="31" t="s">
        <v>77</v>
      </c>
      <c r="B112" s="36">
        <v>900</v>
      </c>
      <c r="C112" s="27" t="s">
        <v>31</v>
      </c>
      <c r="D112" s="27" t="s">
        <v>12</v>
      </c>
      <c r="E112" s="27" t="s">
        <v>237</v>
      </c>
      <c r="F112" s="30" t="s">
        <v>69</v>
      </c>
      <c r="G112" s="28">
        <v>3983</v>
      </c>
      <c r="H112" s="28">
        <v>0</v>
      </c>
      <c r="I112" s="28">
        <v>0</v>
      </c>
    </row>
    <row r="113" spans="1:14" x14ac:dyDescent="0.2">
      <c r="A113" s="18" t="s">
        <v>242</v>
      </c>
      <c r="B113" s="22">
        <v>900</v>
      </c>
      <c r="C113" s="19" t="s">
        <v>31</v>
      </c>
      <c r="D113" s="19" t="s">
        <v>12</v>
      </c>
      <c r="E113" s="19" t="s">
        <v>241</v>
      </c>
      <c r="F113" s="19"/>
      <c r="G113" s="20">
        <f>G114+G115</f>
        <v>5377.1</v>
      </c>
      <c r="H113" s="20">
        <f>H114+H115</f>
        <v>7562.9</v>
      </c>
      <c r="I113" s="20">
        <f>I114+I115</f>
        <v>7562.9</v>
      </c>
    </row>
    <row r="114" spans="1:14" s="29" customFormat="1" ht="25.5" x14ac:dyDescent="0.2">
      <c r="A114" s="31" t="s">
        <v>77</v>
      </c>
      <c r="B114" s="36">
        <v>900</v>
      </c>
      <c r="C114" s="27" t="s">
        <v>31</v>
      </c>
      <c r="D114" s="27" t="s">
        <v>12</v>
      </c>
      <c r="E114" s="27" t="s">
        <v>241</v>
      </c>
      <c r="F114" s="30" t="s">
        <v>69</v>
      </c>
      <c r="G114" s="28">
        <v>200</v>
      </c>
      <c r="H114" s="28">
        <v>200</v>
      </c>
      <c r="I114" s="28">
        <v>200</v>
      </c>
    </row>
    <row r="115" spans="1:14" s="29" customFormat="1" ht="25.5" x14ac:dyDescent="0.2">
      <c r="A115" s="31" t="s">
        <v>84</v>
      </c>
      <c r="B115" s="35">
        <v>900</v>
      </c>
      <c r="C115" s="27" t="s">
        <v>31</v>
      </c>
      <c r="D115" s="27" t="s">
        <v>12</v>
      </c>
      <c r="E115" s="27" t="s">
        <v>241</v>
      </c>
      <c r="F115" s="27" t="s">
        <v>72</v>
      </c>
      <c r="G115" s="28">
        <v>5177.1000000000004</v>
      </c>
      <c r="H115" s="28">
        <v>7362.9</v>
      </c>
      <c r="I115" s="28">
        <v>7362.9</v>
      </c>
    </row>
    <row r="116" spans="1:14" x14ac:dyDescent="0.2">
      <c r="A116" s="18" t="s">
        <v>244</v>
      </c>
      <c r="B116" s="22">
        <v>900</v>
      </c>
      <c r="C116" s="19" t="s">
        <v>31</v>
      </c>
      <c r="D116" s="19" t="s">
        <v>12</v>
      </c>
      <c r="E116" s="27" t="s">
        <v>243</v>
      </c>
      <c r="F116" s="19"/>
      <c r="G116" s="20">
        <f>G117</f>
        <v>2832.1</v>
      </c>
      <c r="H116" s="20">
        <f>H117</f>
        <v>11233.2</v>
      </c>
      <c r="I116" s="20">
        <f>I117</f>
        <v>11233.2</v>
      </c>
    </row>
    <row r="117" spans="1:14" s="29" customFormat="1" ht="25.5" x14ac:dyDescent="0.2">
      <c r="A117" s="31" t="s">
        <v>77</v>
      </c>
      <c r="B117" s="22">
        <v>900</v>
      </c>
      <c r="C117" s="19" t="s">
        <v>31</v>
      </c>
      <c r="D117" s="19" t="s">
        <v>12</v>
      </c>
      <c r="E117" s="27" t="s">
        <v>243</v>
      </c>
      <c r="F117" s="27" t="s">
        <v>69</v>
      </c>
      <c r="G117" s="28">
        <v>2832.1</v>
      </c>
      <c r="H117" s="28">
        <v>11233.2</v>
      </c>
      <c r="I117" s="28">
        <v>11233.2</v>
      </c>
    </row>
    <row r="118" spans="1:14" s="3" customFormat="1" x14ac:dyDescent="0.2">
      <c r="A118" s="13" t="s">
        <v>37</v>
      </c>
      <c r="B118" s="50">
        <v>900</v>
      </c>
      <c r="C118" s="1" t="s">
        <v>19</v>
      </c>
      <c r="D118" s="1"/>
      <c r="E118" s="1"/>
      <c r="F118" s="1"/>
      <c r="G118" s="2">
        <f t="shared" ref="G118:I119" si="14">G119</f>
        <v>254.8</v>
      </c>
      <c r="H118" s="2">
        <f t="shared" si="14"/>
        <v>254.8</v>
      </c>
      <c r="I118" s="2">
        <f t="shared" si="14"/>
        <v>254.8</v>
      </c>
    </row>
    <row r="119" spans="1:14" s="9" customFormat="1" x14ac:dyDescent="0.2">
      <c r="A119" s="11" t="s">
        <v>40</v>
      </c>
      <c r="B119" s="14">
        <v>900</v>
      </c>
      <c r="C119" s="8" t="s">
        <v>19</v>
      </c>
      <c r="D119" s="8" t="s">
        <v>19</v>
      </c>
      <c r="E119" s="8"/>
      <c r="F119" s="8"/>
      <c r="G119" s="4">
        <f t="shared" si="14"/>
        <v>254.8</v>
      </c>
      <c r="H119" s="4">
        <f t="shared" si="14"/>
        <v>254.8</v>
      </c>
      <c r="I119" s="4">
        <f t="shared" si="14"/>
        <v>254.8</v>
      </c>
    </row>
    <row r="120" spans="1:14" ht="25.5" x14ac:dyDescent="0.2">
      <c r="A120" s="18" t="s">
        <v>246</v>
      </c>
      <c r="B120" s="22">
        <v>900</v>
      </c>
      <c r="C120" s="19" t="s">
        <v>19</v>
      </c>
      <c r="D120" s="19" t="s">
        <v>19</v>
      </c>
      <c r="E120" s="19" t="s">
        <v>245</v>
      </c>
      <c r="F120" s="19"/>
      <c r="G120" s="20">
        <f>G121+G122</f>
        <v>254.8</v>
      </c>
      <c r="H120" s="20">
        <f t="shared" ref="H120:I120" si="15">H121+H122</f>
        <v>254.8</v>
      </c>
      <c r="I120" s="20">
        <f t="shared" si="15"/>
        <v>254.8</v>
      </c>
    </row>
    <row r="121" spans="1:14" s="29" customFormat="1" ht="25.5" x14ac:dyDescent="0.2">
      <c r="A121" s="31" t="s">
        <v>77</v>
      </c>
      <c r="B121" s="35">
        <v>900</v>
      </c>
      <c r="C121" s="27" t="s">
        <v>19</v>
      </c>
      <c r="D121" s="27" t="s">
        <v>19</v>
      </c>
      <c r="E121" s="27" t="s">
        <v>245</v>
      </c>
      <c r="F121" s="30" t="s">
        <v>69</v>
      </c>
      <c r="G121" s="28">
        <f>208.8</f>
        <v>208.8</v>
      </c>
      <c r="H121" s="28">
        <f t="shared" ref="H121:I121" si="16">208.8</f>
        <v>208.8</v>
      </c>
      <c r="I121" s="28">
        <f t="shared" si="16"/>
        <v>208.8</v>
      </c>
      <c r="J121" s="21"/>
      <c r="K121" s="21"/>
      <c r="L121" s="21"/>
      <c r="M121" s="21"/>
      <c r="N121" s="21"/>
    </row>
    <row r="122" spans="1:14" s="29" customFormat="1" x14ac:dyDescent="0.2">
      <c r="A122" s="31" t="s">
        <v>70</v>
      </c>
      <c r="B122" s="35">
        <v>900</v>
      </c>
      <c r="C122" s="27" t="s">
        <v>19</v>
      </c>
      <c r="D122" s="27" t="s">
        <v>19</v>
      </c>
      <c r="E122" s="27" t="s">
        <v>245</v>
      </c>
      <c r="F122" s="30" t="s">
        <v>71</v>
      </c>
      <c r="G122" s="28">
        <f>46</f>
        <v>46</v>
      </c>
      <c r="H122" s="28">
        <f>46</f>
        <v>46</v>
      </c>
      <c r="I122" s="28">
        <f>46</f>
        <v>46</v>
      </c>
      <c r="J122" s="21"/>
      <c r="K122" s="21"/>
      <c r="L122" s="21"/>
      <c r="M122" s="21"/>
      <c r="N122" s="21"/>
    </row>
    <row r="123" spans="1:14" s="3" customFormat="1" x14ac:dyDescent="0.2">
      <c r="A123" s="71" t="s">
        <v>92</v>
      </c>
      <c r="B123" s="50">
        <v>900</v>
      </c>
      <c r="C123" s="1" t="s">
        <v>26</v>
      </c>
      <c r="D123" s="1"/>
      <c r="E123" s="1"/>
      <c r="F123" s="72"/>
      <c r="G123" s="2">
        <f>SUM(G124,G127)</f>
        <v>0</v>
      </c>
      <c r="H123" s="2">
        <f>SUM(H124,H127)</f>
        <v>0</v>
      </c>
      <c r="I123" s="2">
        <f>SUM(I124,I127)</f>
        <v>0</v>
      </c>
    </row>
    <row r="124" spans="1:14" x14ac:dyDescent="0.2">
      <c r="A124" s="11" t="s">
        <v>90</v>
      </c>
      <c r="B124" s="11">
        <v>900</v>
      </c>
      <c r="C124" s="8" t="s">
        <v>26</v>
      </c>
      <c r="D124" s="8" t="s">
        <v>12</v>
      </c>
      <c r="E124" s="8"/>
      <c r="F124" s="8"/>
      <c r="G124" s="4">
        <f t="shared" ref="G124:I125" si="17">G125</f>
        <v>0</v>
      </c>
      <c r="H124" s="4">
        <f t="shared" si="17"/>
        <v>0</v>
      </c>
      <c r="I124" s="4">
        <f t="shared" si="17"/>
        <v>0</v>
      </c>
    </row>
    <row r="125" spans="1:14" ht="38.25" x14ac:dyDescent="0.2">
      <c r="A125" s="18" t="s">
        <v>248</v>
      </c>
      <c r="B125" s="18">
        <v>900</v>
      </c>
      <c r="C125" s="16" t="s">
        <v>26</v>
      </c>
      <c r="D125" s="16" t="s">
        <v>12</v>
      </c>
      <c r="E125" s="16" t="s">
        <v>247</v>
      </c>
      <c r="F125" s="19"/>
      <c r="G125" s="20">
        <f t="shared" si="17"/>
        <v>0</v>
      </c>
      <c r="H125" s="20">
        <f t="shared" si="17"/>
        <v>0</v>
      </c>
      <c r="I125" s="20">
        <f t="shared" si="17"/>
        <v>0</v>
      </c>
    </row>
    <row r="126" spans="1:14" ht="25.5" x14ac:dyDescent="0.2">
      <c r="A126" s="31" t="s">
        <v>169</v>
      </c>
      <c r="B126" s="31">
        <v>900</v>
      </c>
      <c r="C126" s="27" t="s">
        <v>26</v>
      </c>
      <c r="D126" s="27" t="s">
        <v>12</v>
      </c>
      <c r="E126" s="27" t="s">
        <v>247</v>
      </c>
      <c r="F126" s="27" t="s">
        <v>66</v>
      </c>
      <c r="G126" s="28"/>
      <c r="H126" s="28"/>
      <c r="I126" s="28"/>
    </row>
    <row r="127" spans="1:14" x14ac:dyDescent="0.2">
      <c r="A127" s="11" t="s">
        <v>91</v>
      </c>
      <c r="B127" s="11">
        <v>900</v>
      </c>
      <c r="C127" s="8" t="s">
        <v>26</v>
      </c>
      <c r="D127" s="8" t="s">
        <v>14</v>
      </c>
      <c r="E127" s="8"/>
      <c r="F127" s="8"/>
      <c r="G127" s="4">
        <f t="shared" ref="G127:I128" si="18">G128</f>
        <v>0</v>
      </c>
      <c r="H127" s="4">
        <f t="shared" si="18"/>
        <v>0</v>
      </c>
      <c r="I127" s="4">
        <f t="shared" si="18"/>
        <v>0</v>
      </c>
    </row>
    <row r="128" spans="1:14" ht="38.25" x14ac:dyDescent="0.2">
      <c r="A128" s="18" t="s">
        <v>248</v>
      </c>
      <c r="B128" s="18">
        <v>900</v>
      </c>
      <c r="C128" s="16" t="s">
        <v>26</v>
      </c>
      <c r="D128" s="16" t="s">
        <v>14</v>
      </c>
      <c r="E128" s="16" t="s">
        <v>247</v>
      </c>
      <c r="F128" s="19"/>
      <c r="G128" s="20">
        <f t="shared" si="18"/>
        <v>0</v>
      </c>
      <c r="H128" s="20">
        <f t="shared" si="18"/>
        <v>0</v>
      </c>
      <c r="I128" s="20">
        <f t="shared" si="18"/>
        <v>0</v>
      </c>
    </row>
    <row r="129" spans="1:14" ht="25.5" x14ac:dyDescent="0.2">
      <c r="A129" s="31" t="s">
        <v>169</v>
      </c>
      <c r="B129" s="31">
        <v>900</v>
      </c>
      <c r="C129" s="27" t="s">
        <v>26</v>
      </c>
      <c r="D129" s="27" t="s">
        <v>14</v>
      </c>
      <c r="E129" s="27" t="s">
        <v>247</v>
      </c>
      <c r="F129" s="27" t="s">
        <v>66</v>
      </c>
      <c r="G129" s="28"/>
      <c r="H129" s="28"/>
      <c r="I129" s="28"/>
    </row>
    <row r="130" spans="1:14" s="3" customFormat="1" x14ac:dyDescent="0.2">
      <c r="A130" s="13" t="s">
        <v>53</v>
      </c>
      <c r="B130" s="50">
        <v>900</v>
      </c>
      <c r="C130" s="1" t="s">
        <v>52</v>
      </c>
      <c r="D130" s="1"/>
      <c r="E130" s="1"/>
      <c r="F130" s="1"/>
      <c r="G130" s="2">
        <f>G131+G156</f>
        <v>13503.900000000001</v>
      </c>
      <c r="H130" s="2">
        <f>H131+H156</f>
        <v>5094.3</v>
      </c>
      <c r="I130" s="2">
        <f>I131+I156</f>
        <v>10314.300000000001</v>
      </c>
    </row>
    <row r="131" spans="1:14" s="9" customFormat="1" x14ac:dyDescent="0.2">
      <c r="A131" s="11" t="s">
        <v>56</v>
      </c>
      <c r="B131" s="14">
        <v>900</v>
      </c>
      <c r="C131" s="8" t="s">
        <v>52</v>
      </c>
      <c r="D131" s="8" t="s">
        <v>16</v>
      </c>
      <c r="E131" s="8"/>
      <c r="F131" s="8"/>
      <c r="G131" s="4">
        <f>G134+G138+G140+G142+G144+G146+G148+G150+G152+G154+G132+G136</f>
        <v>13387.7</v>
      </c>
      <c r="H131" s="4">
        <f t="shared" ref="H131:I131" si="19">H134+H138+H140+H142+H144+H146+H148+H150+H152+H154+H132+H136</f>
        <v>4978.1000000000004</v>
      </c>
      <c r="I131" s="4">
        <f t="shared" si="19"/>
        <v>10198.1</v>
      </c>
    </row>
    <row r="132" spans="1:14" s="77" customFormat="1" ht="89.25" x14ac:dyDescent="0.2">
      <c r="A132" s="18" t="s">
        <v>251</v>
      </c>
      <c r="B132" s="18">
        <v>900</v>
      </c>
      <c r="C132" s="19" t="s">
        <v>52</v>
      </c>
      <c r="D132" s="19" t="s">
        <v>16</v>
      </c>
      <c r="E132" s="19" t="s">
        <v>161</v>
      </c>
      <c r="F132" s="19"/>
      <c r="G132" s="20">
        <f>G133</f>
        <v>9252.1</v>
      </c>
      <c r="H132" s="20">
        <f>H133</f>
        <v>0</v>
      </c>
      <c r="I132" s="20">
        <f>I133</f>
        <v>0</v>
      </c>
    </row>
    <row r="133" spans="1:14" s="77" customFormat="1" x14ac:dyDescent="0.2">
      <c r="A133" s="31" t="s">
        <v>70</v>
      </c>
      <c r="B133" s="31">
        <v>900</v>
      </c>
      <c r="C133" s="27" t="s">
        <v>52</v>
      </c>
      <c r="D133" s="27" t="s">
        <v>16</v>
      </c>
      <c r="E133" s="27" t="s">
        <v>161</v>
      </c>
      <c r="F133" s="27" t="s">
        <v>71</v>
      </c>
      <c r="G133" s="28">
        <v>9252.1</v>
      </c>
      <c r="H133" s="28">
        <v>0</v>
      </c>
      <c r="I133" s="28">
        <v>0</v>
      </c>
    </row>
    <row r="134" spans="1:14" ht="63.75" x14ac:dyDescent="0.2">
      <c r="A134" s="18" t="s">
        <v>252</v>
      </c>
      <c r="B134" s="22">
        <v>900</v>
      </c>
      <c r="C134" s="19" t="s">
        <v>52</v>
      </c>
      <c r="D134" s="19" t="s">
        <v>16</v>
      </c>
      <c r="E134" s="19" t="s">
        <v>99</v>
      </c>
      <c r="F134" s="19"/>
      <c r="G134" s="20">
        <f>G135</f>
        <v>1355.2</v>
      </c>
      <c r="H134" s="20">
        <f>H135</f>
        <v>2197.6999999999998</v>
      </c>
      <c r="I134" s="20">
        <f>I135</f>
        <v>7417.7</v>
      </c>
    </row>
    <row r="135" spans="1:14" s="29" customFormat="1" ht="25.5" x14ac:dyDescent="0.2">
      <c r="A135" s="31" t="s">
        <v>84</v>
      </c>
      <c r="B135" s="31">
        <v>900</v>
      </c>
      <c r="C135" s="27" t="s">
        <v>52</v>
      </c>
      <c r="D135" s="27" t="s">
        <v>16</v>
      </c>
      <c r="E135" s="27" t="s">
        <v>99</v>
      </c>
      <c r="F135" s="27" t="s">
        <v>72</v>
      </c>
      <c r="G135" s="28">
        <v>1355.2</v>
      </c>
      <c r="H135" s="28">
        <v>2197.6999999999998</v>
      </c>
      <c r="I135" s="28">
        <v>7417.7</v>
      </c>
      <c r="J135" s="21"/>
      <c r="K135" s="21"/>
      <c r="L135" s="21"/>
      <c r="M135" s="21"/>
      <c r="N135" s="21"/>
    </row>
    <row r="136" spans="1:14" ht="38.25" x14ac:dyDescent="0.2">
      <c r="A136" s="18" t="s">
        <v>233</v>
      </c>
      <c r="B136" s="22">
        <v>900</v>
      </c>
      <c r="C136" s="19" t="s">
        <v>52</v>
      </c>
      <c r="D136" s="19" t="s">
        <v>16</v>
      </c>
      <c r="E136" s="19" t="s">
        <v>234</v>
      </c>
      <c r="F136" s="19"/>
      <c r="G136" s="20">
        <f>G137</f>
        <v>814.1</v>
      </c>
      <c r="H136" s="20">
        <f>H137</f>
        <v>814.1</v>
      </c>
      <c r="I136" s="20">
        <f>I137</f>
        <v>814.1</v>
      </c>
    </row>
    <row r="137" spans="1:14" s="29" customFormat="1" ht="25.5" x14ac:dyDescent="0.2">
      <c r="A137" s="31" t="s">
        <v>84</v>
      </c>
      <c r="B137" s="35">
        <v>900</v>
      </c>
      <c r="C137" s="27" t="s">
        <v>52</v>
      </c>
      <c r="D137" s="27" t="s">
        <v>16</v>
      </c>
      <c r="E137" s="27" t="s">
        <v>234</v>
      </c>
      <c r="F137" s="27" t="s">
        <v>72</v>
      </c>
      <c r="G137" s="28">
        <v>814.1</v>
      </c>
      <c r="H137" s="28">
        <v>814.1</v>
      </c>
      <c r="I137" s="28">
        <v>814.1</v>
      </c>
      <c r="J137" s="21"/>
      <c r="K137" s="21"/>
      <c r="L137" s="21"/>
      <c r="M137" s="21"/>
      <c r="N137" s="21"/>
    </row>
    <row r="138" spans="1:14" ht="25.5" x14ac:dyDescent="0.2">
      <c r="A138" s="18" t="s">
        <v>253</v>
      </c>
      <c r="B138" s="22">
        <v>900</v>
      </c>
      <c r="C138" s="19" t="s">
        <v>52</v>
      </c>
      <c r="D138" s="19" t="s">
        <v>16</v>
      </c>
      <c r="E138" s="19" t="s">
        <v>150</v>
      </c>
      <c r="F138" s="19"/>
      <c r="G138" s="20">
        <f>G139</f>
        <v>1966.3</v>
      </c>
      <c r="H138" s="20">
        <f>H139</f>
        <v>1966.3</v>
      </c>
      <c r="I138" s="20">
        <f>I139</f>
        <v>1966.3</v>
      </c>
    </row>
    <row r="139" spans="1:14" s="29" customFormat="1" x14ac:dyDescent="0.2">
      <c r="A139" s="29" t="s">
        <v>70</v>
      </c>
      <c r="B139" s="35">
        <v>900</v>
      </c>
      <c r="C139" s="27" t="s">
        <v>52</v>
      </c>
      <c r="D139" s="27" t="s">
        <v>16</v>
      </c>
      <c r="E139" s="27" t="s">
        <v>150</v>
      </c>
      <c r="F139" s="33">
        <v>300</v>
      </c>
      <c r="G139" s="28">
        <v>1966.3</v>
      </c>
      <c r="H139" s="28">
        <v>1966.3</v>
      </c>
      <c r="I139" s="28">
        <v>1966.3</v>
      </c>
      <c r="J139" s="21"/>
      <c r="K139" s="21"/>
      <c r="L139" s="21"/>
      <c r="M139" s="21"/>
      <c r="N139" s="21"/>
    </row>
    <row r="140" spans="1:14" ht="51" x14ac:dyDescent="0.2">
      <c r="A140" s="18" t="s">
        <v>254</v>
      </c>
      <c r="B140" s="18">
        <v>900</v>
      </c>
      <c r="C140" s="19" t="s">
        <v>52</v>
      </c>
      <c r="D140" s="19" t="s">
        <v>16</v>
      </c>
      <c r="E140" s="19" t="s">
        <v>93</v>
      </c>
      <c r="F140" s="19"/>
      <c r="G140" s="20">
        <f>G141</f>
        <v>0</v>
      </c>
      <c r="H140" s="20">
        <f>H141</f>
        <v>0</v>
      </c>
      <c r="I140" s="20">
        <f>I141</f>
        <v>0</v>
      </c>
    </row>
    <row r="141" spans="1:14" ht="25.5" x14ac:dyDescent="0.2">
      <c r="A141" s="31" t="s">
        <v>169</v>
      </c>
      <c r="B141" s="31">
        <v>900</v>
      </c>
      <c r="C141" s="27" t="s">
        <v>52</v>
      </c>
      <c r="D141" s="27" t="s">
        <v>16</v>
      </c>
      <c r="E141" s="27" t="s">
        <v>93</v>
      </c>
      <c r="F141" s="27" t="s">
        <v>66</v>
      </c>
      <c r="G141" s="28"/>
      <c r="H141" s="28"/>
      <c r="I141" s="28"/>
    </row>
    <row r="142" spans="1:14" ht="89.25" x14ac:dyDescent="0.2">
      <c r="A142" s="18" t="s">
        <v>255</v>
      </c>
      <c r="B142" s="18">
        <v>900</v>
      </c>
      <c r="C142" s="19" t="s">
        <v>52</v>
      </c>
      <c r="D142" s="19" t="s">
        <v>16</v>
      </c>
      <c r="E142" s="19" t="s">
        <v>94</v>
      </c>
      <c r="F142" s="19"/>
      <c r="G142" s="20">
        <f>G143</f>
        <v>0</v>
      </c>
      <c r="H142" s="20">
        <f>H143</f>
        <v>0</v>
      </c>
      <c r="I142" s="20">
        <f>I143</f>
        <v>0</v>
      </c>
    </row>
    <row r="143" spans="1:14" ht="25.5" x14ac:dyDescent="0.2">
      <c r="A143" s="31" t="s">
        <v>169</v>
      </c>
      <c r="B143" s="31">
        <v>900</v>
      </c>
      <c r="C143" s="27" t="s">
        <v>52</v>
      </c>
      <c r="D143" s="27" t="s">
        <v>16</v>
      </c>
      <c r="E143" s="27" t="s">
        <v>94</v>
      </c>
      <c r="F143" s="27" t="s">
        <v>66</v>
      </c>
      <c r="G143" s="20"/>
      <c r="H143" s="20"/>
      <c r="I143" s="20"/>
    </row>
    <row r="144" spans="1:14" ht="76.5" x14ac:dyDescent="0.2">
      <c r="A144" s="18" t="s">
        <v>256</v>
      </c>
      <c r="B144" s="18">
        <v>900</v>
      </c>
      <c r="C144" s="19" t="s">
        <v>52</v>
      </c>
      <c r="D144" s="19" t="s">
        <v>16</v>
      </c>
      <c r="E144" s="19" t="s">
        <v>163</v>
      </c>
      <c r="F144" s="19"/>
      <c r="G144" s="20">
        <f>G145</f>
        <v>0</v>
      </c>
      <c r="H144" s="20">
        <f>H145</f>
        <v>0</v>
      </c>
      <c r="I144" s="20">
        <f>I145</f>
        <v>0</v>
      </c>
    </row>
    <row r="145" spans="1:9" ht="25.5" x14ac:dyDescent="0.2">
      <c r="A145" s="31" t="s">
        <v>169</v>
      </c>
      <c r="B145" s="31">
        <v>900</v>
      </c>
      <c r="C145" s="27" t="s">
        <v>52</v>
      </c>
      <c r="D145" s="27" t="s">
        <v>16</v>
      </c>
      <c r="E145" s="27" t="s">
        <v>163</v>
      </c>
      <c r="F145" s="27" t="s">
        <v>66</v>
      </c>
      <c r="G145" s="28"/>
      <c r="H145" s="28"/>
      <c r="I145" s="28"/>
    </row>
    <row r="146" spans="1:9" ht="63.75" x14ac:dyDescent="0.2">
      <c r="A146" s="18" t="s">
        <v>257</v>
      </c>
      <c r="B146" s="18">
        <v>900</v>
      </c>
      <c r="C146" s="19" t="s">
        <v>52</v>
      </c>
      <c r="D146" s="19" t="s">
        <v>16</v>
      </c>
      <c r="E146" s="19" t="s">
        <v>105</v>
      </c>
      <c r="F146" s="19"/>
      <c r="G146" s="20">
        <f>G147</f>
        <v>0</v>
      </c>
      <c r="H146" s="20">
        <f>H147</f>
        <v>0</v>
      </c>
      <c r="I146" s="20">
        <f>I147</f>
        <v>0</v>
      </c>
    </row>
    <row r="147" spans="1:9" ht="25.5" x14ac:dyDescent="0.2">
      <c r="A147" s="31" t="s">
        <v>169</v>
      </c>
      <c r="B147" s="31">
        <v>900</v>
      </c>
      <c r="C147" s="27" t="s">
        <v>52</v>
      </c>
      <c r="D147" s="27" t="s">
        <v>16</v>
      </c>
      <c r="E147" s="27" t="s">
        <v>105</v>
      </c>
      <c r="F147" s="27" t="s">
        <v>66</v>
      </c>
      <c r="G147" s="28"/>
      <c r="H147" s="28"/>
      <c r="I147" s="28"/>
    </row>
    <row r="148" spans="1:9" ht="140.25" x14ac:dyDescent="0.2">
      <c r="A148" s="18" t="s">
        <v>258</v>
      </c>
      <c r="B148" s="18">
        <v>900</v>
      </c>
      <c r="C148" s="19" t="s">
        <v>52</v>
      </c>
      <c r="D148" s="19" t="s">
        <v>16</v>
      </c>
      <c r="E148" s="19" t="s">
        <v>106</v>
      </c>
      <c r="F148" s="19"/>
      <c r="G148" s="20">
        <f>G149</f>
        <v>0</v>
      </c>
      <c r="H148" s="20">
        <f>H149</f>
        <v>0</v>
      </c>
      <c r="I148" s="20">
        <f>I149</f>
        <v>0</v>
      </c>
    </row>
    <row r="149" spans="1:9" ht="25.5" x14ac:dyDescent="0.2">
      <c r="A149" s="31" t="s">
        <v>169</v>
      </c>
      <c r="B149" s="31">
        <v>900</v>
      </c>
      <c r="C149" s="27" t="s">
        <v>52</v>
      </c>
      <c r="D149" s="27" t="s">
        <v>16</v>
      </c>
      <c r="E149" s="27" t="s">
        <v>106</v>
      </c>
      <c r="F149" s="27" t="s">
        <v>66</v>
      </c>
      <c r="G149" s="28"/>
      <c r="H149" s="28"/>
      <c r="I149" s="28"/>
    </row>
    <row r="150" spans="1:9" ht="89.25" x14ac:dyDescent="0.2">
      <c r="A150" s="18" t="s">
        <v>259</v>
      </c>
      <c r="B150" s="18">
        <v>900</v>
      </c>
      <c r="C150" s="19" t="s">
        <v>52</v>
      </c>
      <c r="D150" s="19" t="s">
        <v>16</v>
      </c>
      <c r="E150" s="19" t="s">
        <v>107</v>
      </c>
      <c r="F150" s="19"/>
      <c r="G150" s="20">
        <f>G151</f>
        <v>0</v>
      </c>
      <c r="H150" s="20">
        <f>H151</f>
        <v>0</v>
      </c>
      <c r="I150" s="20">
        <f>I151</f>
        <v>0</v>
      </c>
    </row>
    <row r="151" spans="1:9" ht="25.5" x14ac:dyDescent="0.2">
      <c r="A151" s="31" t="s">
        <v>169</v>
      </c>
      <c r="B151" s="31">
        <v>900</v>
      </c>
      <c r="C151" s="27" t="s">
        <v>52</v>
      </c>
      <c r="D151" s="27" t="s">
        <v>16</v>
      </c>
      <c r="E151" s="27" t="s">
        <v>107</v>
      </c>
      <c r="F151" s="27" t="s">
        <v>66</v>
      </c>
      <c r="G151" s="28"/>
      <c r="H151" s="28"/>
      <c r="I151" s="28"/>
    </row>
    <row r="152" spans="1:9" ht="63.75" x14ac:dyDescent="0.2">
      <c r="A152" s="18" t="s">
        <v>260</v>
      </c>
      <c r="B152" s="18">
        <v>900</v>
      </c>
      <c r="C152" s="19" t="s">
        <v>52</v>
      </c>
      <c r="D152" s="19" t="s">
        <v>16</v>
      </c>
      <c r="E152" s="19" t="s">
        <v>108</v>
      </c>
      <c r="F152" s="19"/>
      <c r="G152" s="20">
        <f>G153</f>
        <v>0</v>
      </c>
      <c r="H152" s="20">
        <f>H153</f>
        <v>0</v>
      </c>
      <c r="I152" s="20">
        <f>I153</f>
        <v>0</v>
      </c>
    </row>
    <row r="153" spans="1:9" ht="25.5" x14ac:dyDescent="0.2">
      <c r="A153" s="31" t="s">
        <v>169</v>
      </c>
      <c r="B153" s="31">
        <v>900</v>
      </c>
      <c r="C153" s="27" t="s">
        <v>52</v>
      </c>
      <c r="D153" s="27" t="s">
        <v>16</v>
      </c>
      <c r="E153" s="27" t="s">
        <v>108</v>
      </c>
      <c r="F153" s="27" t="s">
        <v>66</v>
      </c>
      <c r="G153" s="28"/>
      <c r="H153" s="28"/>
      <c r="I153" s="28"/>
    </row>
    <row r="154" spans="1:9" ht="51" x14ac:dyDescent="0.2">
      <c r="A154" s="18" t="s">
        <v>261</v>
      </c>
      <c r="B154" s="18">
        <v>900</v>
      </c>
      <c r="C154" s="19" t="s">
        <v>52</v>
      </c>
      <c r="D154" s="19" t="s">
        <v>16</v>
      </c>
      <c r="E154" s="19" t="s">
        <v>109</v>
      </c>
      <c r="F154" s="19"/>
      <c r="G154" s="20">
        <f>G155</f>
        <v>0</v>
      </c>
      <c r="H154" s="20">
        <f>H155</f>
        <v>0</v>
      </c>
      <c r="I154" s="20">
        <f>I155</f>
        <v>0</v>
      </c>
    </row>
    <row r="155" spans="1:9" ht="25.5" x14ac:dyDescent="0.2">
      <c r="A155" s="31" t="s">
        <v>169</v>
      </c>
      <c r="B155" s="31">
        <v>900</v>
      </c>
      <c r="C155" s="27" t="s">
        <v>52</v>
      </c>
      <c r="D155" s="27" t="s">
        <v>16</v>
      </c>
      <c r="E155" s="27" t="s">
        <v>109</v>
      </c>
      <c r="F155" s="27" t="s">
        <v>66</v>
      </c>
      <c r="G155" s="28"/>
      <c r="H155" s="28"/>
      <c r="I155" s="28"/>
    </row>
    <row r="156" spans="1:9" s="9" customFormat="1" x14ac:dyDescent="0.2">
      <c r="A156" s="11" t="s">
        <v>58</v>
      </c>
      <c r="B156" s="14">
        <v>900</v>
      </c>
      <c r="C156" s="8" t="s">
        <v>52</v>
      </c>
      <c r="D156" s="8" t="s">
        <v>51</v>
      </c>
      <c r="E156" s="8"/>
      <c r="F156" s="8"/>
      <c r="G156" s="4">
        <f>G157</f>
        <v>116.19999999999999</v>
      </c>
      <c r="H156" s="4">
        <f>H157</f>
        <v>116.19999999999999</v>
      </c>
      <c r="I156" s="4">
        <f>I157</f>
        <v>116.19999999999999</v>
      </c>
    </row>
    <row r="157" spans="1:9" x14ac:dyDescent="0.2">
      <c r="A157" s="18" t="s">
        <v>263</v>
      </c>
      <c r="B157" s="22">
        <v>900</v>
      </c>
      <c r="C157" s="19" t="s">
        <v>52</v>
      </c>
      <c r="D157" s="19" t="s">
        <v>51</v>
      </c>
      <c r="E157" s="19" t="s">
        <v>262</v>
      </c>
      <c r="F157" s="19"/>
      <c r="G157" s="20">
        <f>G159+G158</f>
        <v>116.19999999999999</v>
      </c>
      <c r="H157" s="20">
        <f>H159+H158</f>
        <v>116.19999999999999</v>
      </c>
      <c r="I157" s="20">
        <f>I159+I158</f>
        <v>116.19999999999999</v>
      </c>
    </row>
    <row r="158" spans="1:9" s="29" customFormat="1" ht="25.5" x14ac:dyDescent="0.2">
      <c r="A158" s="31" t="s">
        <v>77</v>
      </c>
      <c r="B158" s="26">
        <v>900</v>
      </c>
      <c r="C158" s="27" t="s">
        <v>52</v>
      </c>
      <c r="D158" s="27" t="s">
        <v>51</v>
      </c>
      <c r="E158" s="27" t="s">
        <v>262</v>
      </c>
      <c r="F158" s="30" t="s">
        <v>69</v>
      </c>
      <c r="G158" s="28">
        <v>0.6</v>
      </c>
      <c r="H158" s="28">
        <v>0.6</v>
      </c>
      <c r="I158" s="28">
        <v>0.6</v>
      </c>
    </row>
    <row r="159" spans="1:9" s="29" customFormat="1" x14ac:dyDescent="0.2">
      <c r="A159" s="31" t="s">
        <v>70</v>
      </c>
      <c r="B159" s="35">
        <v>900</v>
      </c>
      <c r="C159" s="27" t="s">
        <v>52</v>
      </c>
      <c r="D159" s="27" t="s">
        <v>51</v>
      </c>
      <c r="E159" s="27" t="s">
        <v>262</v>
      </c>
      <c r="F159" s="27" t="s">
        <v>71</v>
      </c>
      <c r="G159" s="28">
        <v>115.6</v>
      </c>
      <c r="H159" s="28">
        <v>115.6</v>
      </c>
      <c r="I159" s="28">
        <v>115.6</v>
      </c>
    </row>
    <row r="160" spans="1:9" s="3" customFormat="1" ht="25.5" x14ac:dyDescent="0.2">
      <c r="A160" s="13" t="s">
        <v>20</v>
      </c>
      <c r="B160" s="50">
        <v>900</v>
      </c>
      <c r="C160" s="1" t="s">
        <v>62</v>
      </c>
      <c r="D160" s="1"/>
      <c r="E160" s="1"/>
      <c r="F160" s="1"/>
      <c r="G160" s="2">
        <f t="shared" ref="G160:I162" si="20">G161</f>
        <v>816.7</v>
      </c>
      <c r="H160" s="2">
        <f t="shared" si="20"/>
        <v>816.7</v>
      </c>
      <c r="I160" s="2">
        <f t="shared" si="20"/>
        <v>816.7</v>
      </c>
    </row>
    <row r="161" spans="1:14" s="9" customFormat="1" ht="25.5" x14ac:dyDescent="0.2">
      <c r="A161" s="11" t="s">
        <v>3</v>
      </c>
      <c r="B161" s="14">
        <v>900</v>
      </c>
      <c r="C161" s="8" t="s">
        <v>62</v>
      </c>
      <c r="D161" s="8" t="s">
        <v>12</v>
      </c>
      <c r="E161" s="8"/>
      <c r="F161" s="8"/>
      <c r="G161" s="4">
        <f t="shared" si="20"/>
        <v>816.7</v>
      </c>
      <c r="H161" s="4">
        <f t="shared" si="20"/>
        <v>816.7</v>
      </c>
      <c r="I161" s="4">
        <f t="shared" si="20"/>
        <v>816.7</v>
      </c>
    </row>
    <row r="162" spans="1:14" ht="25.5" x14ac:dyDescent="0.2">
      <c r="A162" s="18" t="s">
        <v>265</v>
      </c>
      <c r="B162" s="22">
        <v>900</v>
      </c>
      <c r="C162" s="19" t="s">
        <v>62</v>
      </c>
      <c r="D162" s="19" t="s">
        <v>12</v>
      </c>
      <c r="E162" s="19" t="s">
        <v>264</v>
      </c>
      <c r="F162" s="19"/>
      <c r="G162" s="20">
        <f t="shared" si="20"/>
        <v>816.7</v>
      </c>
      <c r="H162" s="20">
        <f t="shared" si="20"/>
        <v>816.7</v>
      </c>
      <c r="I162" s="20">
        <f t="shared" si="20"/>
        <v>816.7</v>
      </c>
    </row>
    <row r="163" spans="1:14" s="29" customFormat="1" x14ac:dyDescent="0.2">
      <c r="A163" s="31" t="s">
        <v>75</v>
      </c>
      <c r="B163" s="35">
        <v>900</v>
      </c>
      <c r="C163" s="27" t="s">
        <v>62</v>
      </c>
      <c r="D163" s="27" t="s">
        <v>12</v>
      </c>
      <c r="E163" s="19" t="s">
        <v>264</v>
      </c>
      <c r="F163" s="27" t="s">
        <v>76</v>
      </c>
      <c r="G163" s="28">
        <v>816.7</v>
      </c>
      <c r="H163" s="28">
        <v>816.7</v>
      </c>
      <c r="I163" s="28">
        <v>816.7</v>
      </c>
      <c r="J163" s="21"/>
      <c r="K163" s="21"/>
      <c r="L163" s="21"/>
      <c r="M163" s="21"/>
      <c r="N163" s="21"/>
    </row>
    <row r="164" spans="1:14" s="9" customFormat="1" ht="38.25" x14ac:dyDescent="0.2">
      <c r="A164" s="48" t="s">
        <v>34</v>
      </c>
      <c r="B164" s="45">
        <v>904</v>
      </c>
      <c r="C164" s="49"/>
      <c r="D164" s="49"/>
      <c r="E164" s="49"/>
      <c r="F164" s="49"/>
      <c r="G164" s="47">
        <f>G165+G177</f>
        <v>32560.300000000003</v>
      </c>
      <c r="H164" s="47">
        <f>H165+H177</f>
        <v>32560.300000000003</v>
      </c>
      <c r="I164" s="47">
        <f>I165+I177</f>
        <v>32560.300000000003</v>
      </c>
      <c r="J164" s="86"/>
      <c r="K164" s="86"/>
      <c r="L164" s="86"/>
    </row>
    <row r="165" spans="1:14" s="3" customFormat="1" x14ac:dyDescent="0.2">
      <c r="A165" s="13" t="s">
        <v>37</v>
      </c>
      <c r="B165" s="50">
        <v>904</v>
      </c>
      <c r="C165" s="1" t="s">
        <v>19</v>
      </c>
      <c r="D165" s="1"/>
      <c r="E165" s="1"/>
      <c r="F165" s="1"/>
      <c r="G165" s="2">
        <f>G166+G173</f>
        <v>25756.9</v>
      </c>
      <c r="H165" s="2">
        <f>H166+H173</f>
        <v>25756.9</v>
      </c>
      <c r="I165" s="2">
        <f>I166+I173</f>
        <v>25756.9</v>
      </c>
    </row>
    <row r="166" spans="1:14" s="9" customFormat="1" x14ac:dyDescent="0.2">
      <c r="A166" s="11" t="s">
        <v>463</v>
      </c>
      <c r="B166" s="14">
        <v>904</v>
      </c>
      <c r="C166" s="8" t="s">
        <v>19</v>
      </c>
      <c r="D166" s="8" t="s">
        <v>16</v>
      </c>
      <c r="E166" s="8"/>
      <c r="F166" s="8"/>
      <c r="G166" s="4">
        <f>G169+G167+G171</f>
        <v>24626.7</v>
      </c>
      <c r="H166" s="4">
        <f t="shared" ref="H166:I166" si="21">H169+H167+H171</f>
        <v>24626.7</v>
      </c>
      <c r="I166" s="4">
        <f t="shared" si="21"/>
        <v>24626.7</v>
      </c>
    </row>
    <row r="167" spans="1:14" ht="25.5" x14ac:dyDescent="0.2">
      <c r="A167" s="17" t="s">
        <v>200</v>
      </c>
      <c r="B167" s="17">
        <v>904</v>
      </c>
      <c r="C167" s="19" t="s">
        <v>19</v>
      </c>
      <c r="D167" s="19" t="s">
        <v>16</v>
      </c>
      <c r="E167" s="19" t="s">
        <v>199</v>
      </c>
      <c r="F167" s="5"/>
      <c r="G167" s="6">
        <f>G168</f>
        <v>20</v>
      </c>
      <c r="H167" s="6">
        <f>H168</f>
        <v>20</v>
      </c>
      <c r="I167" s="6">
        <f>I168</f>
        <v>20</v>
      </c>
    </row>
    <row r="168" spans="1:14" ht="25.5" x14ac:dyDescent="0.2">
      <c r="A168" s="31" t="s">
        <v>169</v>
      </c>
      <c r="B168" s="31">
        <v>904</v>
      </c>
      <c r="C168" s="27" t="s">
        <v>19</v>
      </c>
      <c r="D168" s="27" t="s">
        <v>16</v>
      </c>
      <c r="E168" s="27" t="s">
        <v>199</v>
      </c>
      <c r="F168" s="27" t="s">
        <v>66</v>
      </c>
      <c r="G168" s="28">
        <v>20</v>
      </c>
      <c r="H168" s="28">
        <v>20</v>
      </c>
      <c r="I168" s="28">
        <v>20</v>
      </c>
    </row>
    <row r="169" spans="1:14" ht="25.5" x14ac:dyDescent="0.2">
      <c r="A169" s="18" t="s">
        <v>268</v>
      </c>
      <c r="B169" s="22">
        <v>904</v>
      </c>
      <c r="C169" s="19" t="s">
        <v>19</v>
      </c>
      <c r="D169" s="19" t="s">
        <v>16</v>
      </c>
      <c r="E169" s="19" t="s">
        <v>267</v>
      </c>
      <c r="F169" s="19"/>
      <c r="G169" s="20">
        <f>G170</f>
        <v>24582.5</v>
      </c>
      <c r="H169" s="20">
        <f>H170</f>
        <v>24582.5</v>
      </c>
      <c r="I169" s="20">
        <f>I170</f>
        <v>24582.5</v>
      </c>
    </row>
    <row r="170" spans="1:14" s="29" customFormat="1" ht="25.5" x14ac:dyDescent="0.2">
      <c r="A170" s="31" t="s">
        <v>169</v>
      </c>
      <c r="B170" s="35">
        <v>904</v>
      </c>
      <c r="C170" s="27" t="s">
        <v>19</v>
      </c>
      <c r="D170" s="27" t="s">
        <v>16</v>
      </c>
      <c r="E170" s="27" t="s">
        <v>267</v>
      </c>
      <c r="F170" s="27" t="s">
        <v>66</v>
      </c>
      <c r="G170" s="28">
        <v>24582.5</v>
      </c>
      <c r="H170" s="28">
        <v>24582.5</v>
      </c>
      <c r="I170" s="28">
        <v>24582.5</v>
      </c>
    </row>
    <row r="171" spans="1:14" ht="25.5" x14ac:dyDescent="0.2">
      <c r="A171" s="18" t="s">
        <v>269</v>
      </c>
      <c r="B171" s="18">
        <v>904</v>
      </c>
      <c r="C171" s="19" t="s">
        <v>19</v>
      </c>
      <c r="D171" s="19" t="s">
        <v>16</v>
      </c>
      <c r="E171" s="19" t="s">
        <v>270</v>
      </c>
      <c r="F171" s="19"/>
      <c r="G171" s="20">
        <f>G172</f>
        <v>24.2</v>
      </c>
      <c r="H171" s="20">
        <f>H172</f>
        <v>24.2</v>
      </c>
      <c r="I171" s="20">
        <f>I172</f>
        <v>24.2</v>
      </c>
    </row>
    <row r="172" spans="1:14" ht="25.5" x14ac:dyDescent="0.2">
      <c r="A172" s="31" t="s">
        <v>169</v>
      </c>
      <c r="B172" s="31">
        <v>904</v>
      </c>
      <c r="C172" s="27" t="s">
        <v>19</v>
      </c>
      <c r="D172" s="27" t="s">
        <v>16</v>
      </c>
      <c r="E172" s="27" t="s">
        <v>270</v>
      </c>
      <c r="F172" s="27" t="s">
        <v>66</v>
      </c>
      <c r="G172" s="28">
        <v>24.2</v>
      </c>
      <c r="H172" s="28">
        <v>24.2</v>
      </c>
      <c r="I172" s="28">
        <v>24.2</v>
      </c>
    </row>
    <row r="173" spans="1:14" s="9" customFormat="1" x14ac:dyDescent="0.2">
      <c r="A173" s="11" t="s">
        <v>41</v>
      </c>
      <c r="B173" s="14">
        <v>904</v>
      </c>
      <c r="C173" s="8" t="s">
        <v>19</v>
      </c>
      <c r="D173" s="8" t="s">
        <v>26</v>
      </c>
      <c r="E173" s="8"/>
      <c r="F173" s="8"/>
      <c r="G173" s="4">
        <f>G174</f>
        <v>1130.2</v>
      </c>
      <c r="H173" s="4">
        <f>H174</f>
        <v>1130.2</v>
      </c>
      <c r="I173" s="4">
        <f>I174</f>
        <v>1130.2</v>
      </c>
    </row>
    <row r="174" spans="1:14" ht="38.25" x14ac:dyDescent="0.2">
      <c r="A174" s="18" t="s">
        <v>272</v>
      </c>
      <c r="B174" s="22">
        <v>904</v>
      </c>
      <c r="C174" s="19" t="s">
        <v>19</v>
      </c>
      <c r="D174" s="19" t="s">
        <v>26</v>
      </c>
      <c r="E174" s="19" t="s">
        <v>271</v>
      </c>
      <c r="F174" s="19"/>
      <c r="G174" s="20">
        <f>G175+G176</f>
        <v>1130.2</v>
      </c>
      <c r="H174" s="20">
        <f>H175+H176</f>
        <v>1130.2</v>
      </c>
      <c r="I174" s="20">
        <f>I175+I176</f>
        <v>1130.2</v>
      </c>
    </row>
    <row r="175" spans="1:14" s="29" customFormat="1" ht="54" customHeight="1" x14ac:dyDescent="0.2">
      <c r="A175" s="34" t="s">
        <v>67</v>
      </c>
      <c r="B175" s="36">
        <v>904</v>
      </c>
      <c r="C175" s="27" t="s">
        <v>19</v>
      </c>
      <c r="D175" s="27" t="s">
        <v>26</v>
      </c>
      <c r="E175" s="27" t="s">
        <v>271</v>
      </c>
      <c r="F175" s="30" t="s">
        <v>68</v>
      </c>
      <c r="G175" s="28"/>
      <c r="H175" s="28"/>
      <c r="I175" s="28"/>
    </row>
    <row r="176" spans="1:14" s="29" customFormat="1" ht="25.5" x14ac:dyDescent="0.2">
      <c r="A176" s="31" t="s">
        <v>169</v>
      </c>
      <c r="B176" s="36">
        <v>904</v>
      </c>
      <c r="C176" s="27" t="s">
        <v>19</v>
      </c>
      <c r="D176" s="27" t="s">
        <v>26</v>
      </c>
      <c r="E176" s="27" t="s">
        <v>271</v>
      </c>
      <c r="F176" s="30" t="s">
        <v>66</v>
      </c>
      <c r="G176" s="28">
        <v>1130.2</v>
      </c>
      <c r="H176" s="28">
        <v>1130.2</v>
      </c>
      <c r="I176" s="28">
        <v>1130.2</v>
      </c>
    </row>
    <row r="177" spans="1:9" s="3" customFormat="1" x14ac:dyDescent="0.2">
      <c r="A177" s="13" t="s">
        <v>0</v>
      </c>
      <c r="B177" s="50">
        <v>904</v>
      </c>
      <c r="C177" s="1" t="s">
        <v>21</v>
      </c>
      <c r="D177" s="1"/>
      <c r="E177" s="1"/>
      <c r="F177" s="1"/>
      <c r="G177" s="2">
        <f>G178+G188+G191</f>
        <v>6803.4</v>
      </c>
      <c r="H177" s="2">
        <f>H178+H188+H191</f>
        <v>6803.4</v>
      </c>
      <c r="I177" s="2">
        <f>I178+I188+I191</f>
        <v>6803.4</v>
      </c>
    </row>
    <row r="178" spans="1:9" s="9" customFormat="1" x14ac:dyDescent="0.2">
      <c r="A178" s="11" t="s">
        <v>1</v>
      </c>
      <c r="B178" s="14">
        <v>904</v>
      </c>
      <c r="C178" s="8" t="s">
        <v>21</v>
      </c>
      <c r="D178" s="8" t="s">
        <v>12</v>
      </c>
      <c r="E178" s="8"/>
      <c r="F178" s="8"/>
      <c r="G178" s="4">
        <f>G181+G184+G186+G179</f>
        <v>5682.4</v>
      </c>
      <c r="H178" s="4">
        <f>H181+H184+H186+H179</f>
        <v>5682.4</v>
      </c>
      <c r="I178" s="4">
        <f>I181+I184+I186+I179</f>
        <v>5682.4</v>
      </c>
    </row>
    <row r="179" spans="1:9" s="12" customFormat="1" ht="25.5" x14ac:dyDescent="0.2">
      <c r="A179" s="17" t="s">
        <v>200</v>
      </c>
      <c r="B179" s="52">
        <v>904</v>
      </c>
      <c r="C179" s="19" t="s">
        <v>21</v>
      </c>
      <c r="D179" s="19" t="s">
        <v>12</v>
      </c>
      <c r="E179" s="19" t="s">
        <v>199</v>
      </c>
      <c r="F179" s="5"/>
      <c r="G179" s="6">
        <f>G180</f>
        <v>13</v>
      </c>
      <c r="H179" s="6">
        <f>H180</f>
        <v>13</v>
      </c>
      <c r="I179" s="6">
        <f>I180</f>
        <v>13</v>
      </c>
    </row>
    <row r="180" spans="1:9" s="29" customFormat="1" ht="25.5" x14ac:dyDescent="0.2">
      <c r="A180" s="31" t="s">
        <v>169</v>
      </c>
      <c r="B180" s="35">
        <v>904</v>
      </c>
      <c r="C180" s="27" t="s">
        <v>21</v>
      </c>
      <c r="D180" s="27" t="s">
        <v>12</v>
      </c>
      <c r="E180" s="27" t="s">
        <v>199</v>
      </c>
      <c r="F180" s="27" t="s">
        <v>66</v>
      </c>
      <c r="G180" s="28">
        <v>13</v>
      </c>
      <c r="H180" s="28">
        <v>13</v>
      </c>
      <c r="I180" s="28">
        <v>13</v>
      </c>
    </row>
    <row r="181" spans="1:9" ht="25.5" x14ac:dyDescent="0.2">
      <c r="A181" s="18" t="s">
        <v>274</v>
      </c>
      <c r="B181" s="22">
        <v>904</v>
      </c>
      <c r="C181" s="19" t="s">
        <v>21</v>
      </c>
      <c r="D181" s="19" t="s">
        <v>12</v>
      </c>
      <c r="E181" s="19" t="s">
        <v>273</v>
      </c>
      <c r="F181" s="19"/>
      <c r="G181" s="20">
        <f>G183+G182</f>
        <v>5469.4</v>
      </c>
      <c r="H181" s="20">
        <f>H183+H182</f>
        <v>5469.4</v>
      </c>
      <c r="I181" s="20">
        <f>I183+I182</f>
        <v>5469.4</v>
      </c>
    </row>
    <row r="182" spans="1:9" s="29" customFormat="1" ht="25.5" x14ac:dyDescent="0.2">
      <c r="A182" s="31" t="s">
        <v>77</v>
      </c>
      <c r="B182" s="36">
        <v>904</v>
      </c>
      <c r="C182" s="27" t="s">
        <v>21</v>
      </c>
      <c r="D182" s="27" t="s">
        <v>12</v>
      </c>
      <c r="E182" s="27" t="s">
        <v>273</v>
      </c>
      <c r="F182" s="30" t="s">
        <v>69</v>
      </c>
      <c r="G182" s="28">
        <v>35</v>
      </c>
      <c r="H182" s="28">
        <v>35</v>
      </c>
      <c r="I182" s="28">
        <v>35</v>
      </c>
    </row>
    <row r="183" spans="1:9" s="29" customFormat="1" ht="25.5" x14ac:dyDescent="0.2">
      <c r="A183" s="31" t="s">
        <v>169</v>
      </c>
      <c r="B183" s="35">
        <v>904</v>
      </c>
      <c r="C183" s="27" t="s">
        <v>21</v>
      </c>
      <c r="D183" s="27" t="s">
        <v>12</v>
      </c>
      <c r="E183" s="27" t="s">
        <v>273</v>
      </c>
      <c r="F183" s="27" t="s">
        <v>66</v>
      </c>
      <c r="G183" s="28">
        <v>5434.4</v>
      </c>
      <c r="H183" s="28">
        <v>5434.4</v>
      </c>
      <c r="I183" s="28">
        <v>5434.4</v>
      </c>
    </row>
    <row r="184" spans="1:9" ht="38.25" x14ac:dyDescent="0.2">
      <c r="A184" s="18" t="s">
        <v>276</v>
      </c>
      <c r="B184" s="22">
        <v>904</v>
      </c>
      <c r="C184" s="19" t="s">
        <v>21</v>
      </c>
      <c r="D184" s="19" t="s">
        <v>12</v>
      </c>
      <c r="E184" s="19" t="s">
        <v>275</v>
      </c>
      <c r="F184" s="19"/>
      <c r="G184" s="20">
        <f>G185</f>
        <v>0</v>
      </c>
      <c r="H184" s="20">
        <f>H185</f>
        <v>0</v>
      </c>
      <c r="I184" s="20">
        <f>I185</f>
        <v>0</v>
      </c>
    </row>
    <row r="185" spans="1:9" s="29" customFormat="1" ht="25.5" x14ac:dyDescent="0.2">
      <c r="A185" s="31" t="s">
        <v>77</v>
      </c>
      <c r="B185" s="36">
        <v>904</v>
      </c>
      <c r="C185" s="27" t="s">
        <v>21</v>
      </c>
      <c r="D185" s="27" t="s">
        <v>12</v>
      </c>
      <c r="E185" s="27" t="s">
        <v>275</v>
      </c>
      <c r="F185" s="30" t="s">
        <v>69</v>
      </c>
      <c r="G185" s="28"/>
      <c r="H185" s="28"/>
      <c r="I185" s="28"/>
    </row>
    <row r="186" spans="1:9" ht="38.25" x14ac:dyDescent="0.2">
      <c r="A186" s="18" t="s">
        <v>278</v>
      </c>
      <c r="B186" s="22">
        <v>904</v>
      </c>
      <c r="C186" s="19" t="s">
        <v>21</v>
      </c>
      <c r="D186" s="19" t="s">
        <v>12</v>
      </c>
      <c r="E186" s="19" t="s">
        <v>277</v>
      </c>
      <c r="F186" s="19"/>
      <c r="G186" s="20">
        <f>G187</f>
        <v>200</v>
      </c>
      <c r="H186" s="20">
        <f>H187</f>
        <v>200</v>
      </c>
      <c r="I186" s="20">
        <f>I187</f>
        <v>200</v>
      </c>
    </row>
    <row r="187" spans="1:9" s="29" customFormat="1" ht="25.5" x14ac:dyDescent="0.2">
      <c r="A187" s="31" t="s">
        <v>77</v>
      </c>
      <c r="B187" s="36">
        <v>904</v>
      </c>
      <c r="C187" s="27" t="s">
        <v>21</v>
      </c>
      <c r="D187" s="27" t="s">
        <v>12</v>
      </c>
      <c r="E187" s="27" t="s">
        <v>277</v>
      </c>
      <c r="F187" s="30" t="s">
        <v>69</v>
      </c>
      <c r="G187" s="28">
        <v>200</v>
      </c>
      <c r="H187" s="28">
        <v>200</v>
      </c>
      <c r="I187" s="28">
        <v>200</v>
      </c>
    </row>
    <row r="188" spans="1:9" s="9" customFormat="1" x14ac:dyDescent="0.2">
      <c r="A188" s="11" t="s">
        <v>2</v>
      </c>
      <c r="B188" s="14">
        <v>904</v>
      </c>
      <c r="C188" s="8" t="s">
        <v>21</v>
      </c>
      <c r="D188" s="8" t="s">
        <v>14</v>
      </c>
      <c r="E188" s="8"/>
      <c r="F188" s="8"/>
      <c r="G188" s="4">
        <f t="shared" ref="G188:I189" si="22">G189</f>
        <v>460</v>
      </c>
      <c r="H188" s="4">
        <f t="shared" si="22"/>
        <v>460</v>
      </c>
      <c r="I188" s="4">
        <f t="shared" si="22"/>
        <v>460</v>
      </c>
    </row>
    <row r="189" spans="1:9" ht="25.5" x14ac:dyDescent="0.2">
      <c r="A189" s="18" t="s">
        <v>280</v>
      </c>
      <c r="B189" s="22">
        <v>904</v>
      </c>
      <c r="C189" s="19" t="s">
        <v>21</v>
      </c>
      <c r="D189" s="19" t="s">
        <v>14</v>
      </c>
      <c r="E189" s="19" t="s">
        <v>279</v>
      </c>
      <c r="F189" s="19"/>
      <c r="G189" s="20">
        <f t="shared" si="22"/>
        <v>460</v>
      </c>
      <c r="H189" s="20">
        <f t="shared" si="22"/>
        <v>460</v>
      </c>
      <c r="I189" s="20">
        <f t="shared" si="22"/>
        <v>460</v>
      </c>
    </row>
    <row r="190" spans="1:9" s="29" customFormat="1" ht="25.5" x14ac:dyDescent="0.2">
      <c r="A190" s="31" t="s">
        <v>77</v>
      </c>
      <c r="B190" s="36">
        <v>904</v>
      </c>
      <c r="C190" s="27" t="s">
        <v>21</v>
      </c>
      <c r="D190" s="27" t="s">
        <v>14</v>
      </c>
      <c r="E190" s="27" t="s">
        <v>279</v>
      </c>
      <c r="F190" s="30" t="s">
        <v>69</v>
      </c>
      <c r="G190" s="28">
        <v>460</v>
      </c>
      <c r="H190" s="28">
        <v>460</v>
      </c>
      <c r="I190" s="28">
        <v>460</v>
      </c>
    </row>
    <row r="191" spans="1:9" s="9" customFormat="1" ht="25.5" x14ac:dyDescent="0.2">
      <c r="A191" s="11" t="s">
        <v>4</v>
      </c>
      <c r="B191" s="14">
        <v>904</v>
      </c>
      <c r="C191" s="8" t="s">
        <v>21</v>
      </c>
      <c r="D191" s="8" t="s">
        <v>31</v>
      </c>
      <c r="E191" s="8"/>
      <c r="F191" s="8"/>
      <c r="G191" s="4">
        <f>G192</f>
        <v>661</v>
      </c>
      <c r="H191" s="4">
        <f>H192</f>
        <v>661</v>
      </c>
      <c r="I191" s="4">
        <f>I192</f>
        <v>661</v>
      </c>
    </row>
    <row r="192" spans="1:9" ht="25.5" x14ac:dyDescent="0.2">
      <c r="A192" s="18" t="s">
        <v>282</v>
      </c>
      <c r="B192" s="22">
        <v>904</v>
      </c>
      <c r="C192" s="19" t="s">
        <v>21</v>
      </c>
      <c r="D192" s="19" t="s">
        <v>31</v>
      </c>
      <c r="E192" s="19" t="s">
        <v>281</v>
      </c>
      <c r="F192" s="19"/>
      <c r="G192" s="20">
        <f>G193+G194</f>
        <v>661</v>
      </c>
      <c r="H192" s="20">
        <f>H193+H194</f>
        <v>661</v>
      </c>
      <c r="I192" s="20">
        <f>I193+I194</f>
        <v>661</v>
      </c>
    </row>
    <row r="193" spans="1:14" s="29" customFormat="1" ht="63.75" x14ac:dyDescent="0.2">
      <c r="A193" s="34" t="s">
        <v>67</v>
      </c>
      <c r="B193" s="36">
        <v>904</v>
      </c>
      <c r="C193" s="27" t="s">
        <v>21</v>
      </c>
      <c r="D193" s="27" t="s">
        <v>31</v>
      </c>
      <c r="E193" s="27" t="s">
        <v>281</v>
      </c>
      <c r="F193" s="30" t="s">
        <v>68</v>
      </c>
      <c r="G193" s="28">
        <v>609</v>
      </c>
      <c r="H193" s="28">
        <v>609</v>
      </c>
      <c r="I193" s="28">
        <v>609</v>
      </c>
    </row>
    <row r="194" spans="1:14" s="29" customFormat="1" ht="25.5" x14ac:dyDescent="0.2">
      <c r="A194" s="31" t="s">
        <v>77</v>
      </c>
      <c r="B194" s="36">
        <v>904</v>
      </c>
      <c r="C194" s="27" t="s">
        <v>21</v>
      </c>
      <c r="D194" s="27" t="s">
        <v>31</v>
      </c>
      <c r="E194" s="27" t="s">
        <v>281</v>
      </c>
      <c r="F194" s="30" t="s">
        <v>69</v>
      </c>
      <c r="G194" s="28">
        <v>52</v>
      </c>
      <c r="H194" s="28">
        <v>52</v>
      </c>
      <c r="I194" s="28">
        <v>52</v>
      </c>
    </row>
    <row r="195" spans="1:14" s="9" customFormat="1" ht="38.25" x14ac:dyDescent="0.2">
      <c r="A195" s="48" t="s">
        <v>47</v>
      </c>
      <c r="B195" s="45">
        <v>905</v>
      </c>
      <c r="C195" s="49"/>
      <c r="D195" s="49"/>
      <c r="E195" s="49"/>
      <c r="F195" s="49"/>
      <c r="G195" s="47">
        <f>G196+G216+G226+G222</f>
        <v>30744.899999999998</v>
      </c>
      <c r="H195" s="47">
        <f>H196+H216+H226+H222</f>
        <v>30744.899999999998</v>
      </c>
      <c r="I195" s="47">
        <f>I196+I216+I226+I222</f>
        <v>30744.899999999998</v>
      </c>
      <c r="J195" s="86"/>
      <c r="K195" s="86"/>
      <c r="L195" s="86"/>
    </row>
    <row r="196" spans="1:14" s="3" customFormat="1" x14ac:dyDescent="0.2">
      <c r="A196" s="13" t="s">
        <v>61</v>
      </c>
      <c r="B196" s="50">
        <v>905</v>
      </c>
      <c r="C196" s="1" t="s">
        <v>12</v>
      </c>
      <c r="D196" s="1"/>
      <c r="E196" s="1"/>
      <c r="F196" s="1"/>
      <c r="G196" s="2">
        <f>G197</f>
        <v>8714.1</v>
      </c>
      <c r="H196" s="2">
        <f>H197</f>
        <v>8714.1</v>
      </c>
      <c r="I196" s="2">
        <f>I197</f>
        <v>8714.1</v>
      </c>
      <c r="J196" s="88"/>
      <c r="K196" s="88"/>
      <c r="L196" s="88"/>
    </row>
    <row r="197" spans="1:14" s="9" customFormat="1" x14ac:dyDescent="0.2">
      <c r="A197" s="11" t="s">
        <v>24</v>
      </c>
      <c r="B197" s="14">
        <v>905</v>
      </c>
      <c r="C197" s="8" t="s">
        <v>12</v>
      </c>
      <c r="D197" s="8" t="s">
        <v>62</v>
      </c>
      <c r="E197" s="8"/>
      <c r="F197" s="8"/>
      <c r="G197" s="4">
        <f>G198+G200+G204+G207+G209+G212+G202</f>
        <v>8714.1</v>
      </c>
      <c r="H197" s="4">
        <f>H198+H200+H204+H207+H209+H212+H202</f>
        <v>8714.1</v>
      </c>
      <c r="I197" s="4">
        <f>I198+I200+I204+I207+I209+I212+I202</f>
        <v>8714.1</v>
      </c>
    </row>
    <row r="198" spans="1:14" ht="25.5" x14ac:dyDescent="0.2">
      <c r="A198" s="18" t="s">
        <v>284</v>
      </c>
      <c r="B198" s="22">
        <v>905</v>
      </c>
      <c r="C198" s="19" t="s">
        <v>12</v>
      </c>
      <c r="D198" s="19" t="s">
        <v>62</v>
      </c>
      <c r="E198" s="5" t="s">
        <v>283</v>
      </c>
      <c r="F198" s="5"/>
      <c r="G198" s="6">
        <f>G199</f>
        <v>700</v>
      </c>
      <c r="H198" s="6">
        <f>H199</f>
        <v>700</v>
      </c>
      <c r="I198" s="6">
        <f>I199</f>
        <v>700</v>
      </c>
    </row>
    <row r="199" spans="1:14" s="29" customFormat="1" ht="25.5" x14ac:dyDescent="0.2">
      <c r="A199" s="31" t="s">
        <v>77</v>
      </c>
      <c r="B199" s="36">
        <v>905</v>
      </c>
      <c r="C199" s="27" t="s">
        <v>12</v>
      </c>
      <c r="D199" s="27" t="s">
        <v>62</v>
      </c>
      <c r="E199" s="27" t="s">
        <v>283</v>
      </c>
      <c r="F199" s="30" t="s">
        <v>69</v>
      </c>
      <c r="G199" s="28">
        <v>700</v>
      </c>
      <c r="H199" s="28">
        <v>700</v>
      </c>
      <c r="I199" s="28">
        <v>700</v>
      </c>
    </row>
    <row r="200" spans="1:14" ht="25.5" x14ac:dyDescent="0.2">
      <c r="A200" s="18" t="s">
        <v>285</v>
      </c>
      <c r="B200" s="22">
        <v>905</v>
      </c>
      <c r="C200" s="19" t="s">
        <v>12</v>
      </c>
      <c r="D200" s="19" t="s">
        <v>62</v>
      </c>
      <c r="E200" s="5" t="s">
        <v>286</v>
      </c>
      <c r="F200" s="5"/>
      <c r="G200" s="6">
        <f>G201</f>
        <v>1000</v>
      </c>
      <c r="H200" s="6">
        <f>H201</f>
        <v>1000</v>
      </c>
      <c r="I200" s="6">
        <f>I201</f>
        <v>1000</v>
      </c>
    </row>
    <row r="201" spans="1:14" s="29" customFormat="1" ht="25.5" x14ac:dyDescent="0.2">
      <c r="A201" s="31" t="s">
        <v>77</v>
      </c>
      <c r="B201" s="36">
        <v>905</v>
      </c>
      <c r="C201" s="27" t="s">
        <v>12</v>
      </c>
      <c r="D201" s="27" t="s">
        <v>62</v>
      </c>
      <c r="E201" s="27" t="s">
        <v>286</v>
      </c>
      <c r="F201" s="30" t="s">
        <v>69</v>
      </c>
      <c r="G201" s="28">
        <v>1000</v>
      </c>
      <c r="H201" s="28">
        <v>1000</v>
      </c>
      <c r="I201" s="28">
        <v>1000</v>
      </c>
    </row>
    <row r="202" spans="1:14" ht="38.25" x14ac:dyDescent="0.2">
      <c r="A202" s="18" t="s">
        <v>287</v>
      </c>
      <c r="B202" s="22">
        <v>905</v>
      </c>
      <c r="C202" s="19" t="s">
        <v>12</v>
      </c>
      <c r="D202" s="19" t="s">
        <v>62</v>
      </c>
      <c r="E202" s="19" t="s">
        <v>288</v>
      </c>
      <c r="F202" s="19"/>
      <c r="G202" s="20">
        <f>G203</f>
        <v>451</v>
      </c>
      <c r="H202" s="20">
        <f>H203</f>
        <v>451</v>
      </c>
      <c r="I202" s="20">
        <f>I203</f>
        <v>451</v>
      </c>
    </row>
    <row r="203" spans="1:14" s="29" customFormat="1" ht="25.5" x14ac:dyDescent="0.2">
      <c r="A203" s="31" t="s">
        <v>77</v>
      </c>
      <c r="B203" s="35">
        <v>905</v>
      </c>
      <c r="C203" s="27" t="s">
        <v>12</v>
      </c>
      <c r="D203" s="27" t="s">
        <v>62</v>
      </c>
      <c r="E203" s="27" t="s">
        <v>288</v>
      </c>
      <c r="F203" s="30" t="s">
        <v>69</v>
      </c>
      <c r="G203" s="28">
        <v>451</v>
      </c>
      <c r="H203" s="28">
        <v>451</v>
      </c>
      <c r="I203" s="28">
        <v>451</v>
      </c>
      <c r="J203" s="21"/>
      <c r="K203" s="21"/>
      <c r="L203" s="21"/>
      <c r="M203" s="21"/>
      <c r="N203" s="21"/>
    </row>
    <row r="204" spans="1:14" x14ac:dyDescent="0.2">
      <c r="A204" s="18" t="s">
        <v>289</v>
      </c>
      <c r="B204" s="22">
        <v>905</v>
      </c>
      <c r="C204" s="19" t="s">
        <v>12</v>
      </c>
      <c r="D204" s="19" t="s">
        <v>62</v>
      </c>
      <c r="E204" s="5" t="s">
        <v>290</v>
      </c>
      <c r="F204" s="5"/>
      <c r="G204" s="6">
        <f>G206+G205</f>
        <v>150</v>
      </c>
      <c r="H204" s="6">
        <f t="shared" ref="H204:I204" si="23">H206+H205</f>
        <v>150</v>
      </c>
      <c r="I204" s="6">
        <f t="shared" si="23"/>
        <v>150</v>
      </c>
    </row>
    <row r="205" spans="1:14" s="29" customFormat="1" ht="25.5" x14ac:dyDescent="0.2">
      <c r="A205" s="31" t="s">
        <v>77</v>
      </c>
      <c r="B205" s="36">
        <v>905</v>
      </c>
      <c r="C205" s="27" t="s">
        <v>12</v>
      </c>
      <c r="D205" s="27" t="s">
        <v>62</v>
      </c>
      <c r="E205" s="27" t="s">
        <v>290</v>
      </c>
      <c r="F205" s="30" t="s">
        <v>69</v>
      </c>
      <c r="G205" s="28">
        <v>50</v>
      </c>
      <c r="H205" s="28">
        <v>50</v>
      </c>
      <c r="I205" s="28">
        <v>50</v>
      </c>
    </row>
    <row r="206" spans="1:14" s="29" customFormat="1" x14ac:dyDescent="0.2">
      <c r="A206" s="31" t="s">
        <v>73</v>
      </c>
      <c r="B206" s="36">
        <v>905</v>
      </c>
      <c r="C206" s="27" t="s">
        <v>12</v>
      </c>
      <c r="D206" s="27" t="s">
        <v>62</v>
      </c>
      <c r="E206" s="27" t="s">
        <v>290</v>
      </c>
      <c r="F206" s="30" t="s">
        <v>74</v>
      </c>
      <c r="G206" s="28">
        <v>100</v>
      </c>
      <c r="H206" s="28">
        <v>100</v>
      </c>
      <c r="I206" s="28">
        <v>100</v>
      </c>
    </row>
    <row r="207" spans="1:14" x14ac:dyDescent="0.2">
      <c r="A207" s="18" t="s">
        <v>292</v>
      </c>
      <c r="B207" s="22">
        <v>905</v>
      </c>
      <c r="C207" s="19" t="s">
        <v>12</v>
      </c>
      <c r="D207" s="19" t="s">
        <v>62</v>
      </c>
      <c r="E207" s="5" t="s">
        <v>291</v>
      </c>
      <c r="F207" s="5"/>
      <c r="G207" s="6">
        <f>G208</f>
        <v>500</v>
      </c>
      <c r="H207" s="6">
        <f>H208</f>
        <v>500</v>
      </c>
      <c r="I207" s="6">
        <f>I208</f>
        <v>500</v>
      </c>
    </row>
    <row r="208" spans="1:14" s="29" customFormat="1" ht="25.5" x14ac:dyDescent="0.2">
      <c r="A208" s="31" t="s">
        <v>77</v>
      </c>
      <c r="B208" s="36">
        <v>905</v>
      </c>
      <c r="C208" s="27" t="s">
        <v>12</v>
      </c>
      <c r="D208" s="27" t="s">
        <v>62</v>
      </c>
      <c r="E208" s="27" t="s">
        <v>291</v>
      </c>
      <c r="F208" s="30" t="s">
        <v>69</v>
      </c>
      <c r="G208" s="28">
        <v>500</v>
      </c>
      <c r="H208" s="28">
        <v>500</v>
      </c>
      <c r="I208" s="28">
        <v>500</v>
      </c>
    </row>
    <row r="209" spans="1:14" x14ac:dyDescent="0.2">
      <c r="A209" s="18" t="s">
        <v>293</v>
      </c>
      <c r="B209" s="22">
        <v>905</v>
      </c>
      <c r="C209" s="19" t="s">
        <v>12</v>
      </c>
      <c r="D209" s="19" t="s">
        <v>62</v>
      </c>
      <c r="E209" s="5" t="s">
        <v>294</v>
      </c>
      <c r="F209" s="5"/>
      <c r="G209" s="6">
        <f>G210+G211</f>
        <v>903</v>
      </c>
      <c r="H209" s="6">
        <f>H210+H211</f>
        <v>903</v>
      </c>
      <c r="I209" s="6">
        <f>I210+I211</f>
        <v>903</v>
      </c>
    </row>
    <row r="210" spans="1:14" s="29" customFormat="1" ht="25.5" x14ac:dyDescent="0.2">
      <c r="A210" s="31" t="s">
        <v>77</v>
      </c>
      <c r="B210" s="26">
        <v>905</v>
      </c>
      <c r="C210" s="27" t="s">
        <v>12</v>
      </c>
      <c r="D210" s="27" t="s">
        <v>62</v>
      </c>
      <c r="E210" s="27" t="s">
        <v>294</v>
      </c>
      <c r="F210" s="30" t="s">
        <v>69</v>
      </c>
      <c r="G210" s="28">
        <v>50</v>
      </c>
      <c r="H210" s="28">
        <v>50</v>
      </c>
      <c r="I210" s="28">
        <v>50</v>
      </c>
    </row>
    <row r="211" spans="1:14" s="29" customFormat="1" x14ac:dyDescent="0.2">
      <c r="A211" s="31" t="s">
        <v>73</v>
      </c>
      <c r="B211" s="35">
        <v>905</v>
      </c>
      <c r="C211" s="19" t="s">
        <v>12</v>
      </c>
      <c r="D211" s="19" t="s">
        <v>62</v>
      </c>
      <c r="E211" s="27" t="s">
        <v>294</v>
      </c>
      <c r="F211" s="27" t="s">
        <v>74</v>
      </c>
      <c r="G211" s="28">
        <v>853</v>
      </c>
      <c r="H211" s="28">
        <v>853</v>
      </c>
      <c r="I211" s="28">
        <v>853</v>
      </c>
    </row>
    <row r="212" spans="1:14" ht="25.5" x14ac:dyDescent="0.2">
      <c r="A212" s="18" t="s">
        <v>295</v>
      </c>
      <c r="B212" s="22">
        <v>905</v>
      </c>
      <c r="C212" s="19" t="s">
        <v>12</v>
      </c>
      <c r="D212" s="19" t="s">
        <v>62</v>
      </c>
      <c r="E212" s="5" t="s">
        <v>296</v>
      </c>
      <c r="F212" s="19"/>
      <c r="G212" s="20">
        <f>G213+G214+G215</f>
        <v>5010.1000000000004</v>
      </c>
      <c r="H212" s="20">
        <f>H213+H214+H215</f>
        <v>5010.1000000000004</v>
      </c>
      <c r="I212" s="20">
        <f>I213+I214+I215</f>
        <v>5010.1000000000004</v>
      </c>
    </row>
    <row r="213" spans="1:14" s="29" customFormat="1" ht="63.75" x14ac:dyDescent="0.2">
      <c r="A213" s="34" t="s">
        <v>67</v>
      </c>
      <c r="B213" s="36">
        <v>905</v>
      </c>
      <c r="C213" s="27" t="s">
        <v>12</v>
      </c>
      <c r="D213" s="27" t="s">
        <v>62</v>
      </c>
      <c r="E213" s="27" t="s">
        <v>296</v>
      </c>
      <c r="F213" s="30" t="s">
        <v>68</v>
      </c>
      <c r="G213" s="28">
        <v>4565.3</v>
      </c>
      <c r="H213" s="28">
        <v>4565.3</v>
      </c>
      <c r="I213" s="28">
        <v>4565.3</v>
      </c>
    </row>
    <row r="214" spans="1:14" s="29" customFormat="1" ht="25.5" x14ac:dyDescent="0.2">
      <c r="A214" s="31" t="s">
        <v>77</v>
      </c>
      <c r="B214" s="36">
        <v>905</v>
      </c>
      <c r="C214" s="27" t="s">
        <v>12</v>
      </c>
      <c r="D214" s="27" t="s">
        <v>62</v>
      </c>
      <c r="E214" s="27" t="s">
        <v>296</v>
      </c>
      <c r="F214" s="30" t="s">
        <v>69</v>
      </c>
      <c r="G214" s="28">
        <v>434.8</v>
      </c>
      <c r="H214" s="28">
        <v>434.8</v>
      </c>
      <c r="I214" s="28">
        <v>434.8</v>
      </c>
    </row>
    <row r="215" spans="1:14" s="29" customFormat="1" x14ac:dyDescent="0.2">
      <c r="A215" s="31" t="s">
        <v>73</v>
      </c>
      <c r="B215" s="35">
        <v>905</v>
      </c>
      <c r="C215" s="19" t="s">
        <v>12</v>
      </c>
      <c r="D215" s="19" t="s">
        <v>62</v>
      </c>
      <c r="E215" s="27" t="s">
        <v>296</v>
      </c>
      <c r="F215" s="27" t="s">
        <v>74</v>
      </c>
      <c r="G215" s="28">
        <v>10</v>
      </c>
      <c r="H215" s="28">
        <v>10</v>
      </c>
      <c r="I215" s="28">
        <v>10</v>
      </c>
    </row>
    <row r="216" spans="1:14" s="3" customFormat="1" x14ac:dyDescent="0.2">
      <c r="A216" s="13" t="s">
        <v>27</v>
      </c>
      <c r="B216" s="50">
        <v>905</v>
      </c>
      <c r="C216" s="1" t="s">
        <v>18</v>
      </c>
      <c r="D216" s="1"/>
      <c r="E216" s="1"/>
      <c r="F216" s="1"/>
      <c r="G216" s="2">
        <f>G217</f>
        <v>1700</v>
      </c>
      <c r="H216" s="2">
        <f>H217</f>
        <v>1700</v>
      </c>
      <c r="I216" s="2">
        <f>I217</f>
        <v>1700</v>
      </c>
    </row>
    <row r="217" spans="1:14" s="9" customFormat="1" x14ac:dyDescent="0.2">
      <c r="A217" s="11" t="s">
        <v>29</v>
      </c>
      <c r="B217" s="14">
        <v>905</v>
      </c>
      <c r="C217" s="8" t="s">
        <v>18</v>
      </c>
      <c r="D217" s="8" t="s">
        <v>23</v>
      </c>
      <c r="E217" s="8"/>
      <c r="F217" s="8"/>
      <c r="G217" s="4">
        <f>G218+G220</f>
        <v>1700</v>
      </c>
      <c r="H217" s="4">
        <f>H218+H220</f>
        <v>1700</v>
      </c>
      <c r="I217" s="4">
        <f>I218+I220</f>
        <v>1700</v>
      </c>
    </row>
    <row r="218" spans="1:14" x14ac:dyDescent="0.2">
      <c r="A218" s="18" t="s">
        <v>298</v>
      </c>
      <c r="B218" s="22">
        <v>905</v>
      </c>
      <c r="C218" s="19" t="s">
        <v>18</v>
      </c>
      <c r="D218" s="19" t="s">
        <v>23</v>
      </c>
      <c r="E218" s="19" t="s">
        <v>297</v>
      </c>
      <c r="F218" s="19"/>
      <c r="G218" s="20">
        <f>G219</f>
        <v>1000</v>
      </c>
      <c r="H218" s="20">
        <f>H219</f>
        <v>1000</v>
      </c>
      <c r="I218" s="20">
        <f>I219</f>
        <v>1000</v>
      </c>
    </row>
    <row r="219" spans="1:14" s="29" customFormat="1" ht="25.5" x14ac:dyDescent="0.2">
      <c r="A219" s="31" t="s">
        <v>77</v>
      </c>
      <c r="B219" s="35">
        <v>905</v>
      </c>
      <c r="C219" s="27" t="s">
        <v>18</v>
      </c>
      <c r="D219" s="27" t="s">
        <v>23</v>
      </c>
      <c r="E219" s="27" t="s">
        <v>297</v>
      </c>
      <c r="F219" s="30" t="s">
        <v>69</v>
      </c>
      <c r="G219" s="28">
        <v>1000</v>
      </c>
      <c r="H219" s="28">
        <v>1000</v>
      </c>
      <c r="I219" s="28">
        <v>1000</v>
      </c>
      <c r="J219" s="21"/>
      <c r="K219" s="21"/>
      <c r="L219" s="21"/>
      <c r="M219" s="21"/>
      <c r="N219" s="21"/>
    </row>
    <row r="220" spans="1:14" ht="38.25" x14ac:dyDescent="0.2">
      <c r="A220" s="18" t="s">
        <v>299</v>
      </c>
      <c r="B220" s="22">
        <v>905</v>
      </c>
      <c r="C220" s="19" t="s">
        <v>18</v>
      </c>
      <c r="D220" s="19" t="s">
        <v>23</v>
      </c>
      <c r="E220" s="19" t="s">
        <v>300</v>
      </c>
      <c r="F220" s="19"/>
      <c r="G220" s="20">
        <f>G221</f>
        <v>700</v>
      </c>
      <c r="H220" s="20">
        <f>H221</f>
        <v>700</v>
      </c>
      <c r="I220" s="20">
        <f>I221</f>
        <v>700</v>
      </c>
    </row>
    <row r="221" spans="1:14" s="29" customFormat="1" ht="25.5" x14ac:dyDescent="0.2">
      <c r="A221" s="31" t="s">
        <v>77</v>
      </c>
      <c r="B221" s="36">
        <v>905</v>
      </c>
      <c r="C221" s="27" t="s">
        <v>18</v>
      </c>
      <c r="D221" s="27" t="s">
        <v>23</v>
      </c>
      <c r="E221" s="27" t="s">
        <v>300</v>
      </c>
      <c r="F221" s="30" t="s">
        <v>69</v>
      </c>
      <c r="G221" s="28">
        <v>700</v>
      </c>
      <c r="H221" s="28">
        <v>700</v>
      </c>
      <c r="I221" s="28">
        <v>700</v>
      </c>
    </row>
    <row r="222" spans="1:14" s="3" customFormat="1" x14ac:dyDescent="0.2">
      <c r="A222" s="13" t="s">
        <v>30</v>
      </c>
      <c r="B222" s="50">
        <v>905</v>
      </c>
      <c r="C222" s="1" t="s">
        <v>31</v>
      </c>
      <c r="D222" s="1"/>
      <c r="E222" s="1"/>
      <c r="F222" s="1"/>
      <c r="G222" s="2">
        <f t="shared" ref="G222:I224" si="24">G223</f>
        <v>2263.6999999999998</v>
      </c>
      <c r="H222" s="2">
        <f t="shared" si="24"/>
        <v>2263.6999999999998</v>
      </c>
      <c r="I222" s="2">
        <f t="shared" si="24"/>
        <v>2263.6999999999998</v>
      </c>
    </row>
    <row r="223" spans="1:14" s="9" customFormat="1" x14ac:dyDescent="0.2">
      <c r="A223" s="11" t="s">
        <v>32</v>
      </c>
      <c r="B223" s="14">
        <v>905</v>
      </c>
      <c r="C223" s="8" t="s">
        <v>31</v>
      </c>
      <c r="D223" s="8" t="s">
        <v>12</v>
      </c>
      <c r="E223" s="8"/>
      <c r="F223" s="8"/>
      <c r="G223" s="4">
        <f t="shared" si="24"/>
        <v>2263.6999999999998</v>
      </c>
      <c r="H223" s="4">
        <f t="shared" si="24"/>
        <v>2263.6999999999998</v>
      </c>
      <c r="I223" s="4">
        <f t="shared" si="24"/>
        <v>2263.6999999999998</v>
      </c>
    </row>
    <row r="224" spans="1:14" ht="25.5" x14ac:dyDescent="0.2">
      <c r="A224" s="18" t="s">
        <v>301</v>
      </c>
      <c r="B224" s="22">
        <v>905</v>
      </c>
      <c r="C224" s="19" t="s">
        <v>31</v>
      </c>
      <c r="D224" s="19" t="s">
        <v>12</v>
      </c>
      <c r="E224" s="19" t="s">
        <v>302</v>
      </c>
      <c r="F224" s="19"/>
      <c r="G224" s="20">
        <f t="shared" si="24"/>
        <v>2263.6999999999998</v>
      </c>
      <c r="H224" s="20">
        <f t="shared" si="24"/>
        <v>2263.6999999999998</v>
      </c>
      <c r="I224" s="20">
        <f t="shared" si="24"/>
        <v>2263.6999999999998</v>
      </c>
    </row>
    <row r="225" spans="1:14" s="29" customFormat="1" ht="25.5" x14ac:dyDescent="0.2">
      <c r="A225" s="31" t="s">
        <v>77</v>
      </c>
      <c r="B225" s="35">
        <v>905</v>
      </c>
      <c r="C225" s="27" t="s">
        <v>31</v>
      </c>
      <c r="D225" s="27" t="s">
        <v>12</v>
      </c>
      <c r="E225" s="27" t="s">
        <v>302</v>
      </c>
      <c r="F225" s="27" t="s">
        <v>69</v>
      </c>
      <c r="G225" s="28">
        <v>2263.6999999999998</v>
      </c>
      <c r="H225" s="28">
        <v>2263.6999999999998</v>
      </c>
      <c r="I225" s="28">
        <v>2263.6999999999998</v>
      </c>
      <c r="J225" s="21"/>
      <c r="K225" s="21"/>
      <c r="L225" s="21"/>
      <c r="M225" s="21"/>
      <c r="N225" s="21"/>
    </row>
    <row r="226" spans="1:14" s="9" customFormat="1" x14ac:dyDescent="0.2">
      <c r="A226" s="11" t="s">
        <v>53</v>
      </c>
      <c r="B226" s="14">
        <v>905</v>
      </c>
      <c r="C226" s="8" t="s">
        <v>52</v>
      </c>
      <c r="D226" s="8"/>
      <c r="E226" s="8"/>
      <c r="F226" s="8"/>
      <c r="G226" s="4">
        <f>G227+G232</f>
        <v>18067.099999999999</v>
      </c>
      <c r="H226" s="4">
        <f t="shared" ref="H226:I226" si="25">H227+H232</f>
        <v>18067.099999999999</v>
      </c>
      <c r="I226" s="4">
        <f t="shared" si="25"/>
        <v>18067.099999999999</v>
      </c>
    </row>
    <row r="227" spans="1:14" s="9" customFormat="1" x14ac:dyDescent="0.2">
      <c r="A227" s="11" t="s">
        <v>57</v>
      </c>
      <c r="B227" s="14">
        <v>905</v>
      </c>
      <c r="C227" s="8" t="s">
        <v>52</v>
      </c>
      <c r="D227" s="8" t="s">
        <v>18</v>
      </c>
      <c r="E227" s="8"/>
      <c r="F227" s="8"/>
      <c r="G227" s="4">
        <f>G228+G230</f>
        <v>18022</v>
      </c>
      <c r="H227" s="4">
        <f>H228+H230</f>
        <v>18022</v>
      </c>
      <c r="I227" s="4">
        <f>I228+I230</f>
        <v>18022</v>
      </c>
    </row>
    <row r="228" spans="1:14" ht="51" x14ac:dyDescent="0.2">
      <c r="A228" s="18" t="s">
        <v>303</v>
      </c>
      <c r="B228" s="22">
        <v>905</v>
      </c>
      <c r="C228" s="19" t="s">
        <v>52</v>
      </c>
      <c r="D228" s="16" t="s">
        <v>18</v>
      </c>
      <c r="E228" s="19" t="s">
        <v>95</v>
      </c>
      <c r="F228" s="19"/>
      <c r="G228" s="20">
        <f>G229</f>
        <v>0</v>
      </c>
      <c r="H228" s="20">
        <f>H229</f>
        <v>0</v>
      </c>
      <c r="I228" s="20">
        <f>I229</f>
        <v>0</v>
      </c>
    </row>
    <row r="229" spans="1:14" s="29" customFormat="1" ht="25.5" x14ac:dyDescent="0.2">
      <c r="A229" s="31" t="s">
        <v>84</v>
      </c>
      <c r="B229" s="35">
        <v>905</v>
      </c>
      <c r="C229" s="27" t="s">
        <v>52</v>
      </c>
      <c r="D229" s="27" t="s">
        <v>18</v>
      </c>
      <c r="E229" s="19" t="s">
        <v>95</v>
      </c>
      <c r="F229" s="27" t="s">
        <v>72</v>
      </c>
      <c r="G229" s="28"/>
      <c r="H229" s="28"/>
      <c r="I229" s="28"/>
      <c r="J229" s="21"/>
      <c r="K229" s="21"/>
      <c r="L229" s="21"/>
      <c r="M229" s="21"/>
      <c r="N229" s="21"/>
    </row>
    <row r="230" spans="1:14" ht="51" x14ac:dyDescent="0.2">
      <c r="A230" s="18" t="s">
        <v>303</v>
      </c>
      <c r="B230" s="22">
        <v>905</v>
      </c>
      <c r="C230" s="19" t="s">
        <v>52</v>
      </c>
      <c r="D230" s="16" t="s">
        <v>18</v>
      </c>
      <c r="E230" s="19" t="s">
        <v>147</v>
      </c>
      <c r="F230" s="19"/>
      <c r="G230" s="20">
        <f>G231</f>
        <v>18022</v>
      </c>
      <c r="H230" s="20">
        <f>H231</f>
        <v>18022</v>
      </c>
      <c r="I230" s="20">
        <f>I231</f>
        <v>18022</v>
      </c>
    </row>
    <row r="231" spans="1:14" s="29" customFormat="1" ht="25.5" x14ac:dyDescent="0.2">
      <c r="A231" s="31" t="s">
        <v>84</v>
      </c>
      <c r="B231" s="35">
        <v>905</v>
      </c>
      <c r="C231" s="27" t="s">
        <v>52</v>
      </c>
      <c r="D231" s="27" t="s">
        <v>18</v>
      </c>
      <c r="E231" s="19" t="s">
        <v>147</v>
      </c>
      <c r="F231" s="27" t="s">
        <v>72</v>
      </c>
      <c r="G231" s="28">
        <v>18022</v>
      </c>
      <c r="H231" s="28">
        <v>18022</v>
      </c>
      <c r="I231" s="28">
        <v>18022</v>
      </c>
      <c r="J231" s="21"/>
      <c r="K231" s="21"/>
      <c r="L231" s="21"/>
      <c r="M231" s="21"/>
      <c r="N231" s="21"/>
    </row>
    <row r="232" spans="1:14" s="9" customFormat="1" x14ac:dyDescent="0.2">
      <c r="A232" s="11" t="s">
        <v>58</v>
      </c>
      <c r="B232" s="14">
        <v>905</v>
      </c>
      <c r="C232" s="8" t="s">
        <v>52</v>
      </c>
      <c r="D232" s="8" t="s">
        <v>51</v>
      </c>
      <c r="E232" s="8"/>
      <c r="F232" s="8"/>
      <c r="G232" s="4">
        <f>G233</f>
        <v>45.1</v>
      </c>
      <c r="H232" s="4">
        <f t="shared" ref="H232:I232" si="26">H233</f>
        <v>45.1</v>
      </c>
      <c r="I232" s="4">
        <f t="shared" si="26"/>
        <v>45.1</v>
      </c>
    </row>
    <row r="233" spans="1:14" x14ac:dyDescent="0.2">
      <c r="A233" s="18" t="s">
        <v>397</v>
      </c>
      <c r="B233" s="22">
        <v>905</v>
      </c>
      <c r="C233" s="19" t="s">
        <v>52</v>
      </c>
      <c r="D233" s="16" t="s">
        <v>51</v>
      </c>
      <c r="E233" s="19" t="s">
        <v>398</v>
      </c>
      <c r="F233" s="19"/>
      <c r="G233" s="20">
        <f>G234</f>
        <v>45.1</v>
      </c>
      <c r="H233" s="20">
        <f>H234</f>
        <v>45.1</v>
      </c>
      <c r="I233" s="20">
        <f>I234</f>
        <v>45.1</v>
      </c>
    </row>
    <row r="234" spans="1:14" s="29" customFormat="1" x14ac:dyDescent="0.2">
      <c r="A234" s="31" t="s">
        <v>73</v>
      </c>
      <c r="B234" s="35">
        <v>905</v>
      </c>
      <c r="C234" s="27" t="s">
        <v>52</v>
      </c>
      <c r="D234" s="27" t="s">
        <v>51</v>
      </c>
      <c r="E234" s="27" t="s">
        <v>398</v>
      </c>
      <c r="F234" s="27" t="s">
        <v>74</v>
      </c>
      <c r="G234" s="28">
        <v>45.1</v>
      </c>
      <c r="H234" s="28">
        <v>45.1</v>
      </c>
      <c r="I234" s="28">
        <v>45.1</v>
      </c>
      <c r="J234" s="21"/>
      <c r="K234" s="21"/>
      <c r="L234" s="21"/>
      <c r="M234" s="21"/>
      <c r="N234" s="21"/>
    </row>
    <row r="235" spans="1:14" s="9" customFormat="1" ht="25.5" x14ac:dyDescent="0.2">
      <c r="A235" s="48" t="s">
        <v>64</v>
      </c>
      <c r="B235" s="45">
        <v>906</v>
      </c>
      <c r="C235" s="49"/>
      <c r="D235" s="49"/>
      <c r="E235" s="49"/>
      <c r="F235" s="49"/>
      <c r="G235" s="47">
        <f t="shared" ref="G235:I236" si="27">G236</f>
        <v>2029.9</v>
      </c>
      <c r="H235" s="47">
        <f t="shared" si="27"/>
        <v>2029.9</v>
      </c>
      <c r="I235" s="47">
        <f t="shared" si="27"/>
        <v>2029.9</v>
      </c>
      <c r="J235" s="86"/>
      <c r="K235" s="86"/>
      <c r="L235" s="86"/>
    </row>
    <row r="236" spans="1:14" s="3" customFormat="1" x14ac:dyDescent="0.2">
      <c r="A236" s="13" t="s">
        <v>61</v>
      </c>
      <c r="B236" s="50">
        <v>906</v>
      </c>
      <c r="C236" s="1" t="s">
        <v>12</v>
      </c>
      <c r="D236" s="1"/>
      <c r="E236" s="1"/>
      <c r="F236" s="1"/>
      <c r="G236" s="2">
        <f t="shared" si="27"/>
        <v>2029.9</v>
      </c>
      <c r="H236" s="2">
        <f t="shared" si="27"/>
        <v>2029.9</v>
      </c>
      <c r="I236" s="2">
        <f t="shared" si="27"/>
        <v>2029.9</v>
      </c>
    </row>
    <row r="237" spans="1:14" s="9" customFormat="1" ht="38.25" x14ac:dyDescent="0.2">
      <c r="A237" s="11" t="s">
        <v>83</v>
      </c>
      <c r="B237" s="14">
        <v>906</v>
      </c>
      <c r="C237" s="8" t="s">
        <v>12</v>
      </c>
      <c r="D237" s="8" t="s">
        <v>51</v>
      </c>
      <c r="E237" s="8"/>
      <c r="F237" s="8"/>
      <c r="G237" s="4">
        <f>G238+G242</f>
        <v>2029.9</v>
      </c>
      <c r="H237" s="4">
        <f>H238+H242</f>
        <v>2029.9</v>
      </c>
      <c r="I237" s="4">
        <f>I238+I242</f>
        <v>2029.9</v>
      </c>
    </row>
    <row r="238" spans="1:14" x14ac:dyDescent="0.2">
      <c r="A238" s="18" t="s">
        <v>305</v>
      </c>
      <c r="B238" s="22">
        <v>906</v>
      </c>
      <c r="C238" s="19" t="s">
        <v>12</v>
      </c>
      <c r="D238" s="19" t="s">
        <v>51</v>
      </c>
      <c r="E238" s="19" t="s">
        <v>304</v>
      </c>
      <c r="F238" s="19"/>
      <c r="G238" s="20">
        <f>+G239+G240+G241</f>
        <v>1501.1</v>
      </c>
      <c r="H238" s="20">
        <f>+H239+H240+H241</f>
        <v>1501.1</v>
      </c>
      <c r="I238" s="20">
        <f>+I239+I240+I241</f>
        <v>1501.1</v>
      </c>
    </row>
    <row r="239" spans="1:14" s="29" customFormat="1" ht="63.75" x14ac:dyDescent="0.2">
      <c r="A239" s="34" t="s">
        <v>67</v>
      </c>
      <c r="B239" s="36">
        <v>906</v>
      </c>
      <c r="C239" s="27" t="s">
        <v>12</v>
      </c>
      <c r="D239" s="27" t="s">
        <v>51</v>
      </c>
      <c r="E239" s="27" t="s">
        <v>304</v>
      </c>
      <c r="F239" s="30" t="s">
        <v>68</v>
      </c>
      <c r="G239" s="28">
        <v>1181</v>
      </c>
      <c r="H239" s="28">
        <v>1181</v>
      </c>
      <c r="I239" s="28">
        <v>1181</v>
      </c>
      <c r="J239" s="21"/>
      <c r="K239" s="21"/>
      <c r="L239" s="21"/>
      <c r="M239" s="21"/>
      <c r="N239" s="21"/>
    </row>
    <row r="240" spans="1:14" s="29" customFormat="1" ht="25.5" x14ac:dyDescent="0.2">
      <c r="A240" s="31" t="s">
        <v>77</v>
      </c>
      <c r="B240" s="35">
        <v>906</v>
      </c>
      <c r="C240" s="27" t="s">
        <v>12</v>
      </c>
      <c r="D240" s="27" t="s">
        <v>51</v>
      </c>
      <c r="E240" s="27" t="s">
        <v>304</v>
      </c>
      <c r="F240" s="30" t="s">
        <v>69</v>
      </c>
      <c r="G240" s="28">
        <v>319.5</v>
      </c>
      <c r="H240" s="28">
        <v>319.5</v>
      </c>
      <c r="I240" s="28">
        <v>319.5</v>
      </c>
      <c r="J240" s="21"/>
      <c r="K240" s="21"/>
      <c r="L240" s="21"/>
      <c r="M240" s="21"/>
      <c r="N240" s="21"/>
    </row>
    <row r="241" spans="1:14" s="29" customFormat="1" x14ac:dyDescent="0.2">
      <c r="A241" s="31" t="s">
        <v>73</v>
      </c>
      <c r="B241" s="35">
        <v>906</v>
      </c>
      <c r="C241" s="27" t="s">
        <v>12</v>
      </c>
      <c r="D241" s="27" t="s">
        <v>51</v>
      </c>
      <c r="E241" s="27" t="s">
        <v>304</v>
      </c>
      <c r="F241" s="27" t="s">
        <v>74</v>
      </c>
      <c r="G241" s="28">
        <v>0.6</v>
      </c>
      <c r="H241" s="28">
        <v>0.6</v>
      </c>
      <c r="I241" s="28">
        <v>0.6</v>
      </c>
      <c r="J241" s="21"/>
      <c r="K241" s="21"/>
      <c r="L241" s="21"/>
      <c r="M241" s="21"/>
      <c r="N241" s="21"/>
    </row>
    <row r="242" spans="1:14" x14ac:dyDescent="0.2">
      <c r="A242" s="18" t="s">
        <v>306</v>
      </c>
      <c r="B242" s="22">
        <v>906</v>
      </c>
      <c r="C242" s="19" t="s">
        <v>12</v>
      </c>
      <c r="D242" s="19" t="s">
        <v>51</v>
      </c>
      <c r="E242" s="19" t="s">
        <v>307</v>
      </c>
      <c r="F242" s="19"/>
      <c r="G242" s="20">
        <f>G243</f>
        <v>528.80000000000007</v>
      </c>
      <c r="H242" s="20">
        <f>H243</f>
        <v>528.80000000000007</v>
      </c>
      <c r="I242" s="20">
        <f>I243</f>
        <v>528.80000000000007</v>
      </c>
    </row>
    <row r="243" spans="1:14" s="29" customFormat="1" ht="63.75" x14ac:dyDescent="0.2">
      <c r="A243" s="34" t="s">
        <v>67</v>
      </c>
      <c r="B243" s="36">
        <v>906</v>
      </c>
      <c r="C243" s="27" t="s">
        <v>12</v>
      </c>
      <c r="D243" s="27" t="s">
        <v>51</v>
      </c>
      <c r="E243" s="27" t="s">
        <v>307</v>
      </c>
      <c r="F243" s="30" t="s">
        <v>68</v>
      </c>
      <c r="G243" s="28">
        <f>406.1+122.7</f>
        <v>528.80000000000007</v>
      </c>
      <c r="H243" s="28">
        <f t="shared" ref="H243:I243" si="28">406.1+122.7</f>
        <v>528.80000000000007</v>
      </c>
      <c r="I243" s="28">
        <f t="shared" si="28"/>
        <v>528.80000000000007</v>
      </c>
    </row>
    <row r="244" spans="1:14" s="9" customFormat="1" ht="25.5" x14ac:dyDescent="0.2">
      <c r="A244" s="48" t="s">
        <v>78</v>
      </c>
      <c r="B244" s="45">
        <v>907</v>
      </c>
      <c r="C244" s="49"/>
      <c r="D244" s="49"/>
      <c r="E244" s="49"/>
      <c r="F244" s="49"/>
      <c r="G244" s="47">
        <f>G245</f>
        <v>6357.4000000000005</v>
      </c>
      <c r="H244" s="47">
        <f>H245</f>
        <v>6307.1</v>
      </c>
      <c r="I244" s="47">
        <f>I245</f>
        <v>6307.1</v>
      </c>
    </row>
    <row r="245" spans="1:14" s="3" customFormat="1" x14ac:dyDescent="0.2">
      <c r="A245" s="13" t="s">
        <v>61</v>
      </c>
      <c r="B245" s="50">
        <v>907</v>
      </c>
      <c r="C245" s="1" t="s">
        <v>12</v>
      </c>
      <c r="D245" s="1"/>
      <c r="E245" s="1"/>
      <c r="F245" s="1"/>
      <c r="G245" s="2">
        <f>G246+G255</f>
        <v>6357.4000000000005</v>
      </c>
      <c r="H245" s="2">
        <f>H246+H255</f>
        <v>6307.1</v>
      </c>
      <c r="I245" s="2">
        <f>I246+I255</f>
        <v>6307.1</v>
      </c>
    </row>
    <row r="246" spans="1:14" s="9" customFormat="1" ht="51" x14ac:dyDescent="0.2">
      <c r="A246" s="11" t="s">
        <v>15</v>
      </c>
      <c r="B246" s="14">
        <v>907</v>
      </c>
      <c r="C246" s="8" t="s">
        <v>12</v>
      </c>
      <c r="D246" s="8" t="s">
        <v>16</v>
      </c>
      <c r="E246" s="8"/>
      <c r="F246" s="8"/>
      <c r="G246" s="4">
        <f>G247+G251+G253</f>
        <v>6233.6</v>
      </c>
      <c r="H246" s="4">
        <f>H247+H251+H253</f>
        <v>6233.6</v>
      </c>
      <c r="I246" s="4">
        <f>I247+I251+I253</f>
        <v>6233.6</v>
      </c>
    </row>
    <row r="247" spans="1:14" x14ac:dyDescent="0.2">
      <c r="A247" s="18" t="s">
        <v>305</v>
      </c>
      <c r="B247" s="22">
        <v>907</v>
      </c>
      <c r="C247" s="19" t="s">
        <v>12</v>
      </c>
      <c r="D247" s="19" t="s">
        <v>16</v>
      </c>
      <c r="E247" s="19" t="s">
        <v>304</v>
      </c>
      <c r="F247" s="19"/>
      <c r="G247" s="20">
        <f>G248+G249+G250</f>
        <v>2563.4</v>
      </c>
      <c r="H247" s="20">
        <f>H248+H249+H250</f>
        <v>2563.4</v>
      </c>
      <c r="I247" s="20">
        <f>I248+I249+I250</f>
        <v>2563.4</v>
      </c>
    </row>
    <row r="248" spans="1:14" s="29" customFormat="1" ht="63.75" x14ac:dyDescent="0.2">
      <c r="A248" s="34" t="s">
        <v>67</v>
      </c>
      <c r="B248" s="36">
        <v>907</v>
      </c>
      <c r="C248" s="27" t="s">
        <v>12</v>
      </c>
      <c r="D248" s="27" t="s">
        <v>16</v>
      </c>
      <c r="E248" s="27" t="s">
        <v>304</v>
      </c>
      <c r="F248" s="30" t="s">
        <v>68</v>
      </c>
      <c r="G248" s="28">
        <v>2107.4</v>
      </c>
      <c r="H248" s="28">
        <v>2107.4</v>
      </c>
      <c r="I248" s="28">
        <v>2107.4</v>
      </c>
    </row>
    <row r="249" spans="1:14" s="29" customFormat="1" ht="25.5" x14ac:dyDescent="0.2">
      <c r="A249" s="31" t="s">
        <v>77</v>
      </c>
      <c r="B249" s="36">
        <v>907</v>
      </c>
      <c r="C249" s="27" t="s">
        <v>12</v>
      </c>
      <c r="D249" s="27" t="s">
        <v>16</v>
      </c>
      <c r="E249" s="27" t="s">
        <v>304</v>
      </c>
      <c r="F249" s="30" t="s">
        <v>69</v>
      </c>
      <c r="G249" s="28">
        <v>453.9</v>
      </c>
      <c r="H249" s="28">
        <v>453.9</v>
      </c>
      <c r="I249" s="28">
        <v>453.9</v>
      </c>
    </row>
    <row r="250" spans="1:14" s="29" customFormat="1" x14ac:dyDescent="0.2">
      <c r="A250" s="31" t="s">
        <v>73</v>
      </c>
      <c r="B250" s="35">
        <v>907</v>
      </c>
      <c r="C250" s="27" t="s">
        <v>12</v>
      </c>
      <c r="D250" s="27" t="s">
        <v>16</v>
      </c>
      <c r="E250" s="27" t="s">
        <v>304</v>
      </c>
      <c r="F250" s="27" t="s">
        <v>74</v>
      </c>
      <c r="G250" s="28">
        <v>2.1</v>
      </c>
      <c r="H250" s="28">
        <v>2.1</v>
      </c>
      <c r="I250" s="28">
        <v>2.1</v>
      </c>
    </row>
    <row r="251" spans="1:14" ht="25.5" x14ac:dyDescent="0.2">
      <c r="A251" s="18" t="s">
        <v>308</v>
      </c>
      <c r="B251" s="22">
        <v>907</v>
      </c>
      <c r="C251" s="19" t="s">
        <v>12</v>
      </c>
      <c r="D251" s="19" t="s">
        <v>16</v>
      </c>
      <c r="E251" s="19" t="s">
        <v>310</v>
      </c>
      <c r="F251" s="19"/>
      <c r="G251" s="20">
        <f>G252</f>
        <v>1253.3</v>
      </c>
      <c r="H251" s="20">
        <f>H252</f>
        <v>1253.3</v>
      </c>
      <c r="I251" s="20">
        <f>I252</f>
        <v>1253.3</v>
      </c>
    </row>
    <row r="252" spans="1:14" s="29" customFormat="1" ht="63.75" x14ac:dyDescent="0.2">
      <c r="A252" s="34" t="s">
        <v>67</v>
      </c>
      <c r="B252" s="36">
        <v>907</v>
      </c>
      <c r="C252" s="27" t="s">
        <v>12</v>
      </c>
      <c r="D252" s="27" t="s">
        <v>16</v>
      </c>
      <c r="E252" s="27" t="s">
        <v>310</v>
      </c>
      <c r="F252" s="30" t="s">
        <v>68</v>
      </c>
      <c r="G252" s="28">
        <v>1253.3</v>
      </c>
      <c r="H252" s="28">
        <v>1253.3</v>
      </c>
      <c r="I252" s="28">
        <v>1253.3</v>
      </c>
    </row>
    <row r="253" spans="1:14" ht="25.5" x14ac:dyDescent="0.2">
      <c r="A253" s="18" t="s">
        <v>309</v>
      </c>
      <c r="B253" s="22">
        <v>907</v>
      </c>
      <c r="C253" s="19" t="s">
        <v>12</v>
      </c>
      <c r="D253" s="19" t="s">
        <v>16</v>
      </c>
      <c r="E253" s="19" t="s">
        <v>311</v>
      </c>
      <c r="F253" s="19"/>
      <c r="G253" s="20">
        <f>G254</f>
        <v>2416.9</v>
      </c>
      <c r="H253" s="20">
        <f>H254</f>
        <v>2416.9</v>
      </c>
      <c r="I253" s="20">
        <f>I254</f>
        <v>2416.9</v>
      </c>
    </row>
    <row r="254" spans="1:14" s="29" customFormat="1" ht="63.75" x14ac:dyDescent="0.2">
      <c r="A254" s="34" t="s">
        <v>67</v>
      </c>
      <c r="B254" s="36">
        <v>907</v>
      </c>
      <c r="C254" s="27" t="s">
        <v>12</v>
      </c>
      <c r="D254" s="27" t="s">
        <v>16</v>
      </c>
      <c r="E254" s="27" t="s">
        <v>311</v>
      </c>
      <c r="F254" s="30" t="s">
        <v>68</v>
      </c>
      <c r="G254" s="28">
        <v>2416.9</v>
      </c>
      <c r="H254" s="28">
        <v>2416.9</v>
      </c>
      <c r="I254" s="28">
        <v>2416.9</v>
      </c>
    </row>
    <row r="255" spans="1:14" s="9" customFormat="1" x14ac:dyDescent="0.2">
      <c r="A255" s="11" t="s">
        <v>24</v>
      </c>
      <c r="B255" s="14">
        <v>907</v>
      </c>
      <c r="C255" s="8" t="s">
        <v>12</v>
      </c>
      <c r="D255" s="8" t="s">
        <v>62</v>
      </c>
      <c r="E255" s="8"/>
      <c r="F255" s="8"/>
      <c r="G255" s="4">
        <f t="shared" ref="G255:I256" si="29">G256</f>
        <v>123.8</v>
      </c>
      <c r="H255" s="4">
        <f t="shared" si="29"/>
        <v>73.5</v>
      </c>
      <c r="I255" s="4">
        <f t="shared" si="29"/>
        <v>73.5</v>
      </c>
    </row>
    <row r="256" spans="1:14" x14ac:dyDescent="0.2">
      <c r="A256" s="18" t="s">
        <v>313</v>
      </c>
      <c r="B256" s="22">
        <v>907</v>
      </c>
      <c r="C256" s="19" t="s">
        <v>12</v>
      </c>
      <c r="D256" s="19" t="s">
        <v>62</v>
      </c>
      <c r="E256" s="19" t="s">
        <v>312</v>
      </c>
      <c r="F256" s="19"/>
      <c r="G256" s="20">
        <f t="shared" si="29"/>
        <v>123.8</v>
      </c>
      <c r="H256" s="20">
        <f t="shared" si="29"/>
        <v>73.5</v>
      </c>
      <c r="I256" s="20">
        <f t="shared" si="29"/>
        <v>73.5</v>
      </c>
    </row>
    <row r="257" spans="1:14" s="29" customFormat="1" x14ac:dyDescent="0.2">
      <c r="A257" s="31" t="s">
        <v>70</v>
      </c>
      <c r="B257" s="35">
        <v>907</v>
      </c>
      <c r="C257" s="27" t="s">
        <v>12</v>
      </c>
      <c r="D257" s="27" t="s">
        <v>62</v>
      </c>
      <c r="E257" s="27" t="s">
        <v>312</v>
      </c>
      <c r="F257" s="27" t="s">
        <v>71</v>
      </c>
      <c r="G257" s="28">
        <f>123.8</f>
        <v>123.8</v>
      </c>
      <c r="H257" s="28">
        <f>73.5</f>
        <v>73.5</v>
      </c>
      <c r="I257" s="28">
        <f>73.5</f>
        <v>73.5</v>
      </c>
    </row>
    <row r="258" spans="1:14" s="9" customFormat="1" ht="25.5" x14ac:dyDescent="0.2">
      <c r="A258" s="48" t="s">
        <v>46</v>
      </c>
      <c r="B258" s="45">
        <v>911</v>
      </c>
      <c r="C258" s="49"/>
      <c r="D258" s="49"/>
      <c r="E258" s="49"/>
      <c r="F258" s="49"/>
      <c r="G258" s="47">
        <f>G259+G339</f>
        <v>938364</v>
      </c>
      <c r="H258" s="47">
        <f t="shared" ref="H258:I258" si="30">H259+H339</f>
        <v>938406.8</v>
      </c>
      <c r="I258" s="47">
        <f t="shared" si="30"/>
        <v>938446.8</v>
      </c>
    </row>
    <row r="259" spans="1:14" s="3" customFormat="1" x14ac:dyDescent="0.2">
      <c r="A259" s="13" t="s">
        <v>37</v>
      </c>
      <c r="B259" s="50">
        <v>911</v>
      </c>
      <c r="C259" s="1" t="s">
        <v>19</v>
      </c>
      <c r="D259" s="1"/>
      <c r="E259" s="1"/>
      <c r="F259" s="1"/>
      <c r="G259" s="2">
        <f>G260+G273+G303+G306</f>
        <v>882366</v>
      </c>
      <c r="H259" s="2">
        <f t="shared" ref="H259:I259" si="31">H260+H273+H303+H306</f>
        <v>882408.8</v>
      </c>
      <c r="I259" s="2">
        <f t="shared" si="31"/>
        <v>882448.8</v>
      </c>
    </row>
    <row r="260" spans="1:14" s="9" customFormat="1" x14ac:dyDescent="0.2">
      <c r="A260" s="11" t="s">
        <v>38</v>
      </c>
      <c r="B260" s="14">
        <v>911</v>
      </c>
      <c r="C260" s="8" t="s">
        <v>19</v>
      </c>
      <c r="D260" s="8" t="s">
        <v>12</v>
      </c>
      <c r="E260" s="8"/>
      <c r="F260" s="8"/>
      <c r="G260" s="4">
        <f>G261+G265+G270</f>
        <v>298666.30000000005</v>
      </c>
      <c r="H260" s="4">
        <f>H261+H265+H270</f>
        <v>295859.90000000002</v>
      </c>
      <c r="I260" s="4">
        <f>I261+I265+I270</f>
        <v>297319.90000000002</v>
      </c>
    </row>
    <row r="261" spans="1:14" ht="51" x14ac:dyDescent="0.2">
      <c r="A261" s="18" t="s">
        <v>314</v>
      </c>
      <c r="B261" s="22">
        <v>911</v>
      </c>
      <c r="C261" s="19" t="s">
        <v>19</v>
      </c>
      <c r="D261" s="19" t="s">
        <v>12</v>
      </c>
      <c r="E261" s="19" t="s">
        <v>137</v>
      </c>
      <c r="F261" s="19"/>
      <c r="G261" s="20">
        <f>G264+G262+G263</f>
        <v>189487</v>
      </c>
      <c r="H261" s="20">
        <f>H264+H262+H263</f>
        <v>189487</v>
      </c>
      <c r="I261" s="20">
        <f>I264+I262+I263</f>
        <v>189487</v>
      </c>
    </row>
    <row r="262" spans="1:14" ht="63.75" x14ac:dyDescent="0.2">
      <c r="A262" s="34" t="s">
        <v>67</v>
      </c>
      <c r="B262" s="26">
        <v>911</v>
      </c>
      <c r="C262" s="27" t="s">
        <v>19</v>
      </c>
      <c r="D262" s="27" t="s">
        <v>12</v>
      </c>
      <c r="E262" s="27" t="s">
        <v>137</v>
      </c>
      <c r="F262" s="30" t="s">
        <v>68</v>
      </c>
      <c r="G262" s="28">
        <f>19607.8+5921.5</f>
        <v>25529.3</v>
      </c>
      <c r="H262" s="28">
        <f>19607.8+5921.5</f>
        <v>25529.3</v>
      </c>
      <c r="I262" s="28">
        <f>19607.8+5921.5</f>
        <v>25529.3</v>
      </c>
    </row>
    <row r="263" spans="1:14" ht="25.5" x14ac:dyDescent="0.2">
      <c r="A263" s="31" t="s">
        <v>77</v>
      </c>
      <c r="B263" s="26">
        <v>911</v>
      </c>
      <c r="C263" s="27" t="s">
        <v>19</v>
      </c>
      <c r="D263" s="27" t="s">
        <v>12</v>
      </c>
      <c r="E263" s="27" t="s">
        <v>137</v>
      </c>
      <c r="F263" s="30" t="s">
        <v>69</v>
      </c>
      <c r="G263" s="28">
        <f>183.1</f>
        <v>183.1</v>
      </c>
      <c r="H263" s="28">
        <f>183.1</f>
        <v>183.1</v>
      </c>
      <c r="I263" s="28">
        <f>183.1</f>
        <v>183.1</v>
      </c>
    </row>
    <row r="264" spans="1:14" s="29" customFormat="1" ht="25.5" x14ac:dyDescent="0.2">
      <c r="A264" s="31" t="s">
        <v>169</v>
      </c>
      <c r="B264" s="35">
        <v>911</v>
      </c>
      <c r="C264" s="27" t="s">
        <v>19</v>
      </c>
      <c r="D264" s="27" t="s">
        <v>12</v>
      </c>
      <c r="E264" s="27" t="s">
        <v>137</v>
      </c>
      <c r="F264" s="27" t="s">
        <v>66</v>
      </c>
      <c r="G264" s="28">
        <v>163774.6</v>
      </c>
      <c r="H264" s="28">
        <v>163774.6</v>
      </c>
      <c r="I264" s="28">
        <v>163774.6</v>
      </c>
    </row>
    <row r="265" spans="1:14" ht="63.75" x14ac:dyDescent="0.2">
      <c r="A265" s="18" t="s">
        <v>315</v>
      </c>
      <c r="B265" s="22">
        <v>911</v>
      </c>
      <c r="C265" s="19" t="s">
        <v>19</v>
      </c>
      <c r="D265" s="19" t="s">
        <v>12</v>
      </c>
      <c r="E265" s="19" t="s">
        <v>331</v>
      </c>
      <c r="F265" s="19"/>
      <c r="G265" s="20">
        <f>G268+G267+G266+G269</f>
        <v>103872.9</v>
      </c>
      <c r="H265" s="20">
        <f t="shared" ref="H265:I265" si="32">H268+H267+H266+H269</f>
        <v>106372.9</v>
      </c>
      <c r="I265" s="20">
        <f t="shared" si="32"/>
        <v>107832.9</v>
      </c>
    </row>
    <row r="266" spans="1:14" ht="63.75" x14ac:dyDescent="0.2">
      <c r="A266" s="34" t="s">
        <v>67</v>
      </c>
      <c r="B266" s="22">
        <v>911</v>
      </c>
      <c r="C266" s="19" t="s">
        <v>19</v>
      </c>
      <c r="D266" s="19" t="s">
        <v>12</v>
      </c>
      <c r="E266" s="19" t="s">
        <v>331</v>
      </c>
      <c r="F266" s="19" t="s">
        <v>68</v>
      </c>
      <c r="G266" s="20">
        <f>7002.9</f>
        <v>7002.9</v>
      </c>
      <c r="H266" s="20">
        <f t="shared" ref="H266:I266" si="33">7002.9</f>
        <v>7002.9</v>
      </c>
      <c r="I266" s="20">
        <f t="shared" si="33"/>
        <v>7002.9</v>
      </c>
    </row>
    <row r="267" spans="1:14" ht="25.5" x14ac:dyDescent="0.2">
      <c r="A267" s="31" t="s">
        <v>77</v>
      </c>
      <c r="B267" s="26">
        <v>911</v>
      </c>
      <c r="C267" s="27" t="s">
        <v>19</v>
      </c>
      <c r="D267" s="27" t="s">
        <v>12</v>
      </c>
      <c r="E267" s="27" t="s">
        <v>331</v>
      </c>
      <c r="F267" s="30" t="s">
        <v>69</v>
      </c>
      <c r="G267" s="28">
        <f>3821.9+4028.8</f>
        <v>7850.7000000000007</v>
      </c>
      <c r="H267" s="28">
        <f t="shared" ref="H267:I267" si="34">3821.9+4028.8</f>
        <v>7850.7000000000007</v>
      </c>
      <c r="I267" s="28">
        <f t="shared" si="34"/>
        <v>7850.7000000000007</v>
      </c>
    </row>
    <row r="268" spans="1:14" s="29" customFormat="1" ht="25.5" x14ac:dyDescent="0.2">
      <c r="A268" s="31" t="s">
        <v>169</v>
      </c>
      <c r="B268" s="35">
        <v>911</v>
      </c>
      <c r="C268" s="27" t="s">
        <v>19</v>
      </c>
      <c r="D268" s="27" t="s">
        <v>12</v>
      </c>
      <c r="E268" s="27" t="s">
        <v>331</v>
      </c>
      <c r="F268" s="27" t="s">
        <v>66</v>
      </c>
      <c r="G268" s="28">
        <f>88902.6</f>
        <v>88902.6</v>
      </c>
      <c r="H268" s="28">
        <f>91402.6</f>
        <v>91402.6</v>
      </c>
      <c r="I268" s="28">
        <f>92862.6</f>
        <v>92862.6</v>
      </c>
      <c r="J268" s="21"/>
      <c r="K268" s="21"/>
      <c r="L268" s="21"/>
      <c r="M268" s="21"/>
      <c r="N268" s="21"/>
    </row>
    <row r="269" spans="1:14" s="29" customFormat="1" x14ac:dyDescent="0.2">
      <c r="A269" s="31" t="s">
        <v>73</v>
      </c>
      <c r="B269" s="35">
        <v>911</v>
      </c>
      <c r="C269" s="27" t="s">
        <v>19</v>
      </c>
      <c r="D269" s="27" t="s">
        <v>12</v>
      </c>
      <c r="E269" s="27" t="s">
        <v>331</v>
      </c>
      <c r="F269" s="27" t="s">
        <v>74</v>
      </c>
      <c r="G269" s="28">
        <f>116.7</f>
        <v>116.7</v>
      </c>
      <c r="H269" s="28">
        <f t="shared" ref="H269:I269" si="35">116.7</f>
        <v>116.7</v>
      </c>
      <c r="I269" s="28">
        <f t="shared" si="35"/>
        <v>116.7</v>
      </c>
      <c r="J269" s="21"/>
      <c r="K269" s="21"/>
      <c r="L269" s="21"/>
      <c r="M269" s="21"/>
      <c r="N269" s="21"/>
    </row>
    <row r="270" spans="1:14" ht="63.75" x14ac:dyDescent="0.2">
      <c r="A270" s="18" t="s">
        <v>317</v>
      </c>
      <c r="B270" s="22">
        <v>911</v>
      </c>
      <c r="C270" s="19" t="s">
        <v>19</v>
      </c>
      <c r="D270" s="19" t="s">
        <v>12</v>
      </c>
      <c r="E270" s="19" t="s">
        <v>316</v>
      </c>
      <c r="F270" s="19"/>
      <c r="G270" s="20">
        <f>G272+G271</f>
        <v>5306.4</v>
      </c>
      <c r="H270" s="20">
        <f>H272+H271</f>
        <v>0</v>
      </c>
      <c r="I270" s="20">
        <f>I272+I271</f>
        <v>0</v>
      </c>
    </row>
    <row r="271" spans="1:14" s="29" customFormat="1" ht="25.5" x14ac:dyDescent="0.2">
      <c r="A271" s="31" t="s">
        <v>84</v>
      </c>
      <c r="B271" s="31">
        <v>911</v>
      </c>
      <c r="C271" s="27" t="s">
        <v>19</v>
      </c>
      <c r="D271" s="27" t="s">
        <v>12</v>
      </c>
      <c r="E271" s="27" t="s">
        <v>316</v>
      </c>
      <c r="F271" s="27" t="s">
        <v>72</v>
      </c>
      <c r="G271" s="28">
        <v>4346.3999999999996</v>
      </c>
      <c r="H271" s="28">
        <v>0</v>
      </c>
      <c r="I271" s="28">
        <v>0</v>
      </c>
      <c r="J271" s="21"/>
      <c r="K271" s="21"/>
      <c r="L271" s="21"/>
      <c r="M271" s="21"/>
      <c r="N271" s="21"/>
    </row>
    <row r="272" spans="1:14" s="29" customFormat="1" ht="25.5" x14ac:dyDescent="0.2">
      <c r="A272" s="31" t="s">
        <v>169</v>
      </c>
      <c r="B272" s="35">
        <v>911</v>
      </c>
      <c r="C272" s="27" t="s">
        <v>19</v>
      </c>
      <c r="D272" s="27" t="s">
        <v>12</v>
      </c>
      <c r="E272" s="27" t="s">
        <v>316</v>
      </c>
      <c r="F272" s="27" t="s">
        <v>66</v>
      </c>
      <c r="G272" s="28">
        <v>960</v>
      </c>
      <c r="H272" s="28">
        <v>0</v>
      </c>
      <c r="I272" s="28">
        <v>0</v>
      </c>
    </row>
    <row r="273" spans="1:14" s="9" customFormat="1" x14ac:dyDescent="0.2">
      <c r="A273" s="11" t="s">
        <v>39</v>
      </c>
      <c r="B273" s="14">
        <v>911</v>
      </c>
      <c r="C273" s="8" t="s">
        <v>19</v>
      </c>
      <c r="D273" s="8" t="s">
        <v>14</v>
      </c>
      <c r="E273" s="8"/>
      <c r="F273" s="8"/>
      <c r="G273" s="4">
        <f>G274+G278+G282+G288+G290+G294+G300+G285+G297</f>
        <v>442940.7</v>
      </c>
      <c r="H273" s="4">
        <f t="shared" ref="H273:I273" si="36">H274+H278+H282+H288+H290+H294+H300+H285+H297</f>
        <v>444429.89999999997</v>
      </c>
      <c r="I273" s="4">
        <f t="shared" si="36"/>
        <v>444969.89999999997</v>
      </c>
    </row>
    <row r="274" spans="1:14" ht="38.25" x14ac:dyDescent="0.2">
      <c r="A274" s="18" t="s">
        <v>318</v>
      </c>
      <c r="B274" s="22">
        <v>911</v>
      </c>
      <c r="C274" s="19" t="s">
        <v>19</v>
      </c>
      <c r="D274" s="19" t="s">
        <v>14</v>
      </c>
      <c r="E274" s="19" t="s">
        <v>135</v>
      </c>
      <c r="F274" s="19"/>
      <c r="G274" s="20">
        <f>G275+G276+G277</f>
        <v>63155</v>
      </c>
      <c r="H274" s="20">
        <f>H275+H276+H277</f>
        <v>63155</v>
      </c>
      <c r="I274" s="20">
        <f>I275+I276+I277</f>
        <v>63155</v>
      </c>
    </row>
    <row r="275" spans="1:14" s="29" customFormat="1" ht="63.75" x14ac:dyDescent="0.2">
      <c r="A275" s="26" t="s">
        <v>67</v>
      </c>
      <c r="B275" s="35">
        <v>911</v>
      </c>
      <c r="C275" s="27" t="s">
        <v>19</v>
      </c>
      <c r="D275" s="27" t="s">
        <v>14</v>
      </c>
      <c r="E275" s="27" t="s">
        <v>135</v>
      </c>
      <c r="F275" s="30" t="s">
        <v>68</v>
      </c>
      <c r="G275" s="28">
        <f>28679.2+8661.1+4.7</f>
        <v>37345</v>
      </c>
      <c r="H275" s="28">
        <f>28679.2+8661.1+4.7</f>
        <v>37345</v>
      </c>
      <c r="I275" s="28">
        <f>28679.2+8661.1+4.7</f>
        <v>37345</v>
      </c>
      <c r="J275" s="21"/>
      <c r="K275" s="21"/>
      <c r="L275" s="21"/>
      <c r="M275" s="21"/>
      <c r="N275" s="21"/>
    </row>
    <row r="276" spans="1:14" s="29" customFormat="1" ht="25.5" x14ac:dyDescent="0.2">
      <c r="A276" s="31" t="s">
        <v>77</v>
      </c>
      <c r="B276" s="35">
        <v>911</v>
      </c>
      <c r="C276" s="27" t="s">
        <v>19</v>
      </c>
      <c r="D276" s="27" t="s">
        <v>14</v>
      </c>
      <c r="E276" s="27" t="s">
        <v>135</v>
      </c>
      <c r="F276" s="30" t="s">
        <v>69</v>
      </c>
      <c r="G276" s="28">
        <v>23730</v>
      </c>
      <c r="H276" s="28">
        <v>23730</v>
      </c>
      <c r="I276" s="28">
        <v>23730</v>
      </c>
      <c r="J276" s="21"/>
      <c r="K276" s="21"/>
      <c r="L276" s="21"/>
      <c r="M276" s="21"/>
      <c r="N276" s="21"/>
    </row>
    <row r="277" spans="1:14" s="29" customFormat="1" x14ac:dyDescent="0.2">
      <c r="A277" s="31" t="s">
        <v>73</v>
      </c>
      <c r="B277" s="35">
        <v>911</v>
      </c>
      <c r="C277" s="27" t="s">
        <v>19</v>
      </c>
      <c r="D277" s="27" t="s">
        <v>14</v>
      </c>
      <c r="E277" s="27" t="s">
        <v>135</v>
      </c>
      <c r="F277" s="27" t="s">
        <v>74</v>
      </c>
      <c r="G277" s="28">
        <v>2080</v>
      </c>
      <c r="H277" s="28">
        <v>2080</v>
      </c>
      <c r="I277" s="28">
        <v>2080</v>
      </c>
      <c r="J277" s="21"/>
      <c r="K277" s="21"/>
      <c r="L277" s="21"/>
      <c r="M277" s="21"/>
      <c r="N277" s="21"/>
    </row>
    <row r="278" spans="1:14" ht="76.5" x14ac:dyDescent="0.2">
      <c r="A278" s="18" t="s">
        <v>319</v>
      </c>
      <c r="B278" s="22">
        <v>911</v>
      </c>
      <c r="C278" s="19" t="s">
        <v>19</v>
      </c>
      <c r="D278" s="19" t="s">
        <v>14</v>
      </c>
      <c r="E278" s="19" t="s">
        <v>133</v>
      </c>
      <c r="F278" s="19"/>
      <c r="G278" s="20">
        <f>G281+G279+G280</f>
        <v>318161</v>
      </c>
      <c r="H278" s="20">
        <f>H281+H279+H280</f>
        <v>318161</v>
      </c>
      <c r="I278" s="20">
        <f>I281+I279+I280</f>
        <v>318161</v>
      </c>
    </row>
    <row r="279" spans="1:14" s="29" customFormat="1" ht="63.75" x14ac:dyDescent="0.2">
      <c r="A279" s="26" t="s">
        <v>67</v>
      </c>
      <c r="B279" s="35">
        <v>911</v>
      </c>
      <c r="C279" s="27" t="s">
        <v>19</v>
      </c>
      <c r="D279" s="27" t="s">
        <v>14</v>
      </c>
      <c r="E279" s="27" t="s">
        <v>133</v>
      </c>
      <c r="F279" s="30" t="s">
        <v>68</v>
      </c>
      <c r="G279" s="28">
        <f>47964+14485.1</f>
        <v>62449.1</v>
      </c>
      <c r="H279" s="28">
        <f>47964+14485.1</f>
        <v>62449.1</v>
      </c>
      <c r="I279" s="28">
        <f>47964+14485.1</f>
        <v>62449.1</v>
      </c>
      <c r="J279" s="21"/>
      <c r="K279" s="21"/>
      <c r="L279" s="21"/>
      <c r="M279" s="21"/>
      <c r="N279" s="21"/>
    </row>
    <row r="280" spans="1:14" s="29" customFormat="1" ht="25.5" x14ac:dyDescent="0.2">
      <c r="A280" s="31" t="s">
        <v>77</v>
      </c>
      <c r="B280" s="35">
        <v>911</v>
      </c>
      <c r="C280" s="27" t="s">
        <v>19</v>
      </c>
      <c r="D280" s="27" t="s">
        <v>14</v>
      </c>
      <c r="E280" s="27" t="s">
        <v>133</v>
      </c>
      <c r="F280" s="30" t="s">
        <v>69</v>
      </c>
      <c r="G280" s="28">
        <f>1581.8</f>
        <v>1581.8</v>
      </c>
      <c r="H280" s="28">
        <f>1581.8</f>
        <v>1581.8</v>
      </c>
      <c r="I280" s="28">
        <f>1581.8</f>
        <v>1581.8</v>
      </c>
      <c r="J280" s="21"/>
      <c r="K280" s="21"/>
      <c r="L280" s="21"/>
      <c r="M280" s="21"/>
      <c r="N280" s="21"/>
    </row>
    <row r="281" spans="1:14" s="29" customFormat="1" ht="25.5" x14ac:dyDescent="0.2">
      <c r="A281" s="31" t="s">
        <v>169</v>
      </c>
      <c r="B281" s="35">
        <v>911</v>
      </c>
      <c r="C281" s="27" t="s">
        <v>19</v>
      </c>
      <c r="D281" s="27" t="s">
        <v>14</v>
      </c>
      <c r="E281" s="27" t="s">
        <v>133</v>
      </c>
      <c r="F281" s="27" t="s">
        <v>66</v>
      </c>
      <c r="G281" s="28">
        <f>254130.1</f>
        <v>254130.1</v>
      </c>
      <c r="H281" s="28">
        <f>254130.1</f>
        <v>254130.1</v>
      </c>
      <c r="I281" s="28">
        <f>254130.1</f>
        <v>254130.1</v>
      </c>
      <c r="J281" s="21"/>
      <c r="K281" s="21"/>
      <c r="L281" s="21"/>
      <c r="M281" s="21"/>
      <c r="N281" s="21"/>
    </row>
    <row r="282" spans="1:14" ht="38.25" x14ac:dyDescent="0.2">
      <c r="A282" s="18" t="s">
        <v>320</v>
      </c>
      <c r="B282" s="22">
        <v>911</v>
      </c>
      <c r="C282" s="19" t="s">
        <v>19</v>
      </c>
      <c r="D282" s="19" t="s">
        <v>14</v>
      </c>
      <c r="E282" s="19" t="s">
        <v>134</v>
      </c>
      <c r="F282" s="19"/>
      <c r="G282" s="20">
        <f>G283+G284</f>
        <v>10243</v>
      </c>
      <c r="H282" s="20">
        <f>H283+H284</f>
        <v>10243</v>
      </c>
      <c r="I282" s="20">
        <f>I283+I284</f>
        <v>10243</v>
      </c>
    </row>
    <row r="283" spans="1:14" s="29" customFormat="1" ht="63.75" x14ac:dyDescent="0.2">
      <c r="A283" s="26" t="s">
        <v>67</v>
      </c>
      <c r="B283" s="35">
        <v>911</v>
      </c>
      <c r="C283" s="27" t="s">
        <v>19</v>
      </c>
      <c r="D283" s="27" t="s">
        <v>14</v>
      </c>
      <c r="E283" s="27" t="s">
        <v>134</v>
      </c>
      <c r="F283" s="30" t="s">
        <v>68</v>
      </c>
      <c r="G283" s="28"/>
      <c r="H283" s="28"/>
      <c r="I283" s="28"/>
      <c r="J283" s="21"/>
      <c r="K283" s="21"/>
      <c r="L283" s="21"/>
      <c r="M283" s="21"/>
      <c r="N283" s="21"/>
    </row>
    <row r="284" spans="1:14" s="29" customFormat="1" ht="25.5" x14ac:dyDescent="0.2">
      <c r="A284" s="31" t="s">
        <v>77</v>
      </c>
      <c r="B284" s="35">
        <v>911</v>
      </c>
      <c r="C284" s="27" t="s">
        <v>19</v>
      </c>
      <c r="D284" s="27" t="s">
        <v>14</v>
      </c>
      <c r="E284" s="27" t="s">
        <v>134</v>
      </c>
      <c r="F284" s="30" t="s">
        <v>69</v>
      </c>
      <c r="G284" s="28">
        <f>10243</f>
        <v>10243</v>
      </c>
      <c r="H284" s="28">
        <f>10243</f>
        <v>10243</v>
      </c>
      <c r="I284" s="28">
        <f>10243</f>
        <v>10243</v>
      </c>
      <c r="J284" s="21"/>
      <c r="K284" s="21"/>
      <c r="L284" s="21"/>
      <c r="M284" s="21"/>
      <c r="N284" s="21"/>
    </row>
    <row r="285" spans="1:14" s="77" customFormat="1" ht="25.5" x14ac:dyDescent="0.2">
      <c r="A285" s="18" t="s">
        <v>321</v>
      </c>
      <c r="B285" s="18">
        <v>911</v>
      </c>
      <c r="C285" s="19" t="s">
        <v>19</v>
      </c>
      <c r="D285" s="19" t="s">
        <v>14</v>
      </c>
      <c r="E285" s="19" t="s">
        <v>154</v>
      </c>
      <c r="F285" s="19"/>
      <c r="G285" s="20">
        <f>G287+G286</f>
        <v>0</v>
      </c>
      <c r="H285" s="20">
        <f>H287+H286</f>
        <v>0</v>
      </c>
      <c r="I285" s="20">
        <f>I287+I286</f>
        <v>0</v>
      </c>
    </row>
    <row r="286" spans="1:14" s="77" customFormat="1" ht="25.5" x14ac:dyDescent="0.2">
      <c r="A286" s="31" t="s">
        <v>77</v>
      </c>
      <c r="B286" s="26">
        <v>911</v>
      </c>
      <c r="C286" s="27" t="s">
        <v>19</v>
      </c>
      <c r="D286" s="27" t="s">
        <v>14</v>
      </c>
      <c r="E286" s="27" t="s">
        <v>154</v>
      </c>
      <c r="F286" s="30" t="s">
        <v>69</v>
      </c>
      <c r="G286" s="28"/>
      <c r="H286" s="28"/>
      <c r="I286" s="28"/>
    </row>
    <row r="287" spans="1:14" s="77" customFormat="1" ht="25.5" x14ac:dyDescent="0.2">
      <c r="A287" s="31" t="s">
        <v>169</v>
      </c>
      <c r="B287" s="31">
        <v>911</v>
      </c>
      <c r="C287" s="27" t="s">
        <v>19</v>
      </c>
      <c r="D287" s="27" t="s">
        <v>14</v>
      </c>
      <c r="E287" s="27" t="s">
        <v>154</v>
      </c>
      <c r="F287" s="27" t="s">
        <v>66</v>
      </c>
      <c r="G287" s="28"/>
      <c r="H287" s="28"/>
      <c r="I287" s="28"/>
    </row>
    <row r="288" spans="1:14" ht="63.75" x14ac:dyDescent="0.2">
      <c r="A288" s="18" t="s">
        <v>323</v>
      </c>
      <c r="B288" s="22">
        <v>911</v>
      </c>
      <c r="C288" s="19" t="s">
        <v>19</v>
      </c>
      <c r="D288" s="19" t="s">
        <v>14</v>
      </c>
      <c r="E288" s="19" t="s">
        <v>322</v>
      </c>
      <c r="F288" s="19"/>
      <c r="G288" s="20">
        <f>G289</f>
        <v>41352.199999999997</v>
      </c>
      <c r="H288" s="20">
        <f>H289</f>
        <v>42298.6</v>
      </c>
      <c r="I288" s="20">
        <f>I289</f>
        <v>42798.6</v>
      </c>
    </row>
    <row r="289" spans="1:14" s="29" customFormat="1" ht="25.5" x14ac:dyDescent="0.2">
      <c r="A289" s="31" t="s">
        <v>169</v>
      </c>
      <c r="B289" s="35">
        <v>911</v>
      </c>
      <c r="C289" s="27" t="s">
        <v>19</v>
      </c>
      <c r="D289" s="27" t="s">
        <v>14</v>
      </c>
      <c r="E289" s="27" t="s">
        <v>322</v>
      </c>
      <c r="F289" s="27" t="s">
        <v>66</v>
      </c>
      <c r="G289" s="28">
        <v>41352.199999999997</v>
      </c>
      <c r="H289" s="28">
        <v>42298.6</v>
      </c>
      <c r="I289" s="28">
        <v>42798.6</v>
      </c>
      <c r="J289" s="21"/>
      <c r="K289" s="21"/>
      <c r="L289" s="21"/>
      <c r="M289" s="21"/>
      <c r="N289" s="21"/>
    </row>
    <row r="290" spans="1:14" ht="63.75" x14ac:dyDescent="0.2">
      <c r="A290" s="18" t="s">
        <v>327</v>
      </c>
      <c r="B290" s="22">
        <v>911</v>
      </c>
      <c r="C290" s="19" t="s">
        <v>19</v>
      </c>
      <c r="D290" s="19" t="s">
        <v>14</v>
      </c>
      <c r="E290" s="19" t="s">
        <v>326</v>
      </c>
      <c r="F290" s="19"/>
      <c r="G290" s="20">
        <f>G291+G292+G293</f>
        <v>8598.2999999999993</v>
      </c>
      <c r="H290" s="20">
        <f>H291+H292+H293</f>
        <v>9098.2999999999993</v>
      </c>
      <c r="I290" s="20">
        <f>I291+I292+I293</f>
        <v>9098.2999999999993</v>
      </c>
    </row>
    <row r="291" spans="1:14" s="29" customFormat="1" ht="54.75" customHeight="1" x14ac:dyDescent="0.2">
      <c r="A291" s="34" t="s">
        <v>67</v>
      </c>
      <c r="B291" s="36">
        <v>911</v>
      </c>
      <c r="C291" s="27" t="s">
        <v>19</v>
      </c>
      <c r="D291" s="27" t="s">
        <v>14</v>
      </c>
      <c r="E291" s="27" t="s">
        <v>326</v>
      </c>
      <c r="F291" s="30" t="s">
        <v>68</v>
      </c>
      <c r="G291" s="28">
        <v>2.4</v>
      </c>
      <c r="H291" s="28">
        <v>2.4</v>
      </c>
      <c r="I291" s="28">
        <v>2.4</v>
      </c>
    </row>
    <row r="292" spans="1:14" s="29" customFormat="1" ht="25.5" x14ac:dyDescent="0.2">
      <c r="A292" s="31" t="s">
        <v>77</v>
      </c>
      <c r="B292" s="36">
        <v>911</v>
      </c>
      <c r="C292" s="27" t="s">
        <v>19</v>
      </c>
      <c r="D292" s="27" t="s">
        <v>14</v>
      </c>
      <c r="E292" s="27" t="s">
        <v>326</v>
      </c>
      <c r="F292" s="30" t="s">
        <v>69</v>
      </c>
      <c r="G292" s="28">
        <v>8176.9</v>
      </c>
      <c r="H292" s="28">
        <v>8676.9</v>
      </c>
      <c r="I292" s="28">
        <v>8676.9</v>
      </c>
    </row>
    <row r="293" spans="1:14" s="29" customFormat="1" x14ac:dyDescent="0.2">
      <c r="A293" s="31" t="s">
        <v>73</v>
      </c>
      <c r="B293" s="35">
        <v>911</v>
      </c>
      <c r="C293" s="27" t="s">
        <v>19</v>
      </c>
      <c r="D293" s="27" t="s">
        <v>14</v>
      </c>
      <c r="E293" s="27" t="s">
        <v>326</v>
      </c>
      <c r="F293" s="27" t="s">
        <v>74</v>
      </c>
      <c r="G293" s="28">
        <v>419</v>
      </c>
      <c r="H293" s="28">
        <v>419</v>
      </c>
      <c r="I293" s="28">
        <v>419</v>
      </c>
    </row>
    <row r="294" spans="1:14" ht="76.5" x14ac:dyDescent="0.2">
      <c r="A294" s="18" t="s">
        <v>328</v>
      </c>
      <c r="B294" s="22">
        <v>911</v>
      </c>
      <c r="C294" s="19" t="s">
        <v>19</v>
      </c>
      <c r="D294" s="19" t="s">
        <v>14</v>
      </c>
      <c r="E294" s="19" t="s">
        <v>332</v>
      </c>
      <c r="F294" s="19"/>
      <c r="G294" s="20">
        <f>G295+G296</f>
        <v>1114.2</v>
      </c>
      <c r="H294" s="20">
        <f>H295+H296</f>
        <v>1157</v>
      </c>
      <c r="I294" s="20">
        <f>I295+I296</f>
        <v>1197</v>
      </c>
    </row>
    <row r="295" spans="1:14" s="29" customFormat="1" ht="25.5" x14ac:dyDescent="0.2">
      <c r="A295" s="31" t="s">
        <v>77</v>
      </c>
      <c r="B295" s="36">
        <v>911</v>
      </c>
      <c r="C295" s="27" t="s">
        <v>19</v>
      </c>
      <c r="D295" s="27" t="s">
        <v>14</v>
      </c>
      <c r="E295" s="27" t="s">
        <v>332</v>
      </c>
      <c r="F295" s="30" t="s">
        <v>69</v>
      </c>
      <c r="G295" s="28">
        <f>845.2+230</f>
        <v>1075.2</v>
      </c>
      <c r="H295" s="28">
        <f>845.2+230+42.8</f>
        <v>1118</v>
      </c>
      <c r="I295" s="28">
        <f>845.2+230+82.8</f>
        <v>1158</v>
      </c>
    </row>
    <row r="296" spans="1:14" s="29" customFormat="1" x14ac:dyDescent="0.2">
      <c r="A296" s="31" t="s">
        <v>73</v>
      </c>
      <c r="B296" s="35">
        <v>911</v>
      </c>
      <c r="C296" s="27" t="s">
        <v>19</v>
      </c>
      <c r="D296" s="27" t="s">
        <v>14</v>
      </c>
      <c r="E296" s="27" t="s">
        <v>332</v>
      </c>
      <c r="F296" s="27" t="s">
        <v>74</v>
      </c>
      <c r="G296" s="28">
        <f>39</f>
        <v>39</v>
      </c>
      <c r="H296" s="28">
        <f>39</f>
        <v>39</v>
      </c>
      <c r="I296" s="28">
        <f>39</f>
        <v>39</v>
      </c>
    </row>
    <row r="297" spans="1:14" s="77" customFormat="1" ht="25.5" x14ac:dyDescent="0.2">
      <c r="A297" s="18" t="s">
        <v>329</v>
      </c>
      <c r="B297" s="18">
        <v>911</v>
      </c>
      <c r="C297" s="19" t="s">
        <v>19</v>
      </c>
      <c r="D297" s="19" t="s">
        <v>14</v>
      </c>
      <c r="E297" s="19" t="s">
        <v>155</v>
      </c>
      <c r="F297" s="19"/>
      <c r="G297" s="20">
        <f>G298+G299</f>
        <v>0</v>
      </c>
      <c r="H297" s="20">
        <f>H298+H299</f>
        <v>0</v>
      </c>
      <c r="I297" s="20">
        <f>I298+I299</f>
        <v>0</v>
      </c>
    </row>
    <row r="298" spans="1:14" s="77" customFormat="1" ht="25.5" x14ac:dyDescent="0.2">
      <c r="A298" s="31" t="s">
        <v>169</v>
      </c>
      <c r="B298" s="31">
        <v>911</v>
      </c>
      <c r="C298" s="27" t="s">
        <v>19</v>
      </c>
      <c r="D298" s="27" t="s">
        <v>14</v>
      </c>
      <c r="E298" s="19" t="s">
        <v>155</v>
      </c>
      <c r="F298" s="27" t="s">
        <v>66</v>
      </c>
      <c r="G298" s="28"/>
      <c r="H298" s="28"/>
      <c r="I298" s="28"/>
    </row>
    <row r="299" spans="1:14" s="77" customFormat="1" x14ac:dyDescent="0.2">
      <c r="A299" s="31" t="s">
        <v>70</v>
      </c>
      <c r="B299" s="31">
        <v>911</v>
      </c>
      <c r="C299" s="27" t="s">
        <v>19</v>
      </c>
      <c r="D299" s="27" t="s">
        <v>14</v>
      </c>
      <c r="E299" s="19" t="s">
        <v>155</v>
      </c>
      <c r="F299" s="27" t="s">
        <v>71</v>
      </c>
      <c r="G299" s="28"/>
      <c r="H299" s="28"/>
      <c r="I299" s="28"/>
    </row>
    <row r="300" spans="1:14" ht="25.5" x14ac:dyDescent="0.2">
      <c r="A300" s="18" t="s">
        <v>330</v>
      </c>
      <c r="B300" s="18">
        <v>911</v>
      </c>
      <c r="C300" s="19" t="s">
        <v>19</v>
      </c>
      <c r="D300" s="19" t="s">
        <v>14</v>
      </c>
      <c r="E300" s="19" t="s">
        <v>461</v>
      </c>
      <c r="F300" s="19"/>
      <c r="G300" s="20">
        <f>G302+G301</f>
        <v>317</v>
      </c>
      <c r="H300" s="20">
        <f>H302+H301</f>
        <v>317</v>
      </c>
      <c r="I300" s="20">
        <f>I302+I301</f>
        <v>317</v>
      </c>
    </row>
    <row r="301" spans="1:14" x14ac:dyDescent="0.2">
      <c r="A301" s="31" t="s">
        <v>70</v>
      </c>
      <c r="B301" s="31">
        <v>911</v>
      </c>
      <c r="C301" s="27" t="s">
        <v>19</v>
      </c>
      <c r="D301" s="27" t="s">
        <v>14</v>
      </c>
      <c r="E301" s="19" t="s">
        <v>461</v>
      </c>
      <c r="F301" s="27" t="s">
        <v>71</v>
      </c>
      <c r="G301" s="28">
        <v>6</v>
      </c>
      <c r="H301" s="28">
        <v>6</v>
      </c>
      <c r="I301" s="28">
        <v>6</v>
      </c>
    </row>
    <row r="302" spans="1:14" ht="25.5" x14ac:dyDescent="0.2">
      <c r="A302" s="31" t="s">
        <v>169</v>
      </c>
      <c r="B302" s="31">
        <v>911</v>
      </c>
      <c r="C302" s="27" t="s">
        <v>19</v>
      </c>
      <c r="D302" s="27" t="s">
        <v>14</v>
      </c>
      <c r="E302" s="19" t="s">
        <v>461</v>
      </c>
      <c r="F302" s="27" t="s">
        <v>66</v>
      </c>
      <c r="G302" s="28">
        <v>311</v>
      </c>
      <c r="H302" s="28">
        <v>311</v>
      </c>
      <c r="I302" s="28">
        <v>311</v>
      </c>
    </row>
    <row r="303" spans="1:14" s="9" customFormat="1" x14ac:dyDescent="0.2">
      <c r="A303" s="11" t="s">
        <v>463</v>
      </c>
      <c r="B303" s="14">
        <v>911</v>
      </c>
      <c r="C303" s="8" t="s">
        <v>19</v>
      </c>
      <c r="D303" s="8" t="s">
        <v>16</v>
      </c>
      <c r="E303" s="8"/>
      <c r="F303" s="8"/>
      <c r="G303" s="4">
        <f>G304</f>
        <v>89904.6</v>
      </c>
      <c r="H303" s="4">
        <f t="shared" ref="H303:I303" si="37">H304</f>
        <v>86964.6</v>
      </c>
      <c r="I303" s="4">
        <f t="shared" si="37"/>
        <v>90004.6</v>
      </c>
    </row>
    <row r="304" spans="1:14" ht="63.75" x14ac:dyDescent="0.2">
      <c r="A304" s="18" t="s">
        <v>325</v>
      </c>
      <c r="B304" s="22">
        <v>911</v>
      </c>
      <c r="C304" s="19" t="s">
        <v>19</v>
      </c>
      <c r="D304" s="19" t="s">
        <v>16</v>
      </c>
      <c r="E304" s="19" t="s">
        <v>324</v>
      </c>
      <c r="F304" s="19"/>
      <c r="G304" s="20">
        <f>G305</f>
        <v>89904.6</v>
      </c>
      <c r="H304" s="20">
        <f>H305</f>
        <v>86964.6</v>
      </c>
      <c r="I304" s="20">
        <f>I305</f>
        <v>90004.6</v>
      </c>
    </row>
    <row r="305" spans="1:14" s="29" customFormat="1" ht="25.5" x14ac:dyDescent="0.2">
      <c r="A305" s="31" t="s">
        <v>169</v>
      </c>
      <c r="B305" s="35">
        <v>911</v>
      </c>
      <c r="C305" s="27" t="s">
        <v>19</v>
      </c>
      <c r="D305" s="27" t="s">
        <v>16</v>
      </c>
      <c r="E305" s="27" t="s">
        <v>324</v>
      </c>
      <c r="F305" s="27" t="s">
        <v>66</v>
      </c>
      <c r="G305" s="28">
        <f>89904.6</f>
        <v>89904.6</v>
      </c>
      <c r="H305" s="28">
        <v>86964.6</v>
      </c>
      <c r="I305" s="28">
        <v>90004.6</v>
      </c>
      <c r="J305" s="21"/>
      <c r="K305" s="21"/>
      <c r="L305" s="21"/>
      <c r="M305" s="21"/>
      <c r="N305" s="21"/>
    </row>
    <row r="306" spans="1:14" s="9" customFormat="1" x14ac:dyDescent="0.2">
      <c r="A306" s="11" t="s">
        <v>41</v>
      </c>
      <c r="B306" s="14">
        <v>911</v>
      </c>
      <c r="C306" s="8" t="s">
        <v>19</v>
      </c>
      <c r="D306" s="8" t="s">
        <v>26</v>
      </c>
      <c r="E306" s="8"/>
      <c r="F306" s="8"/>
      <c r="G306" s="4">
        <f>G312+G314+G317+G321+G324+G326+G329+G332+G334+G309+G307</f>
        <v>50854.400000000001</v>
      </c>
      <c r="H306" s="4">
        <f>H312+H314+H317+H321+H324+H326+H329+H332+H334+H309+H307</f>
        <v>55154.400000000001</v>
      </c>
      <c r="I306" s="4">
        <f>I312+I314+I317+I321+I324+I326+I329+I332+I334+I309+I307</f>
        <v>50154.400000000001</v>
      </c>
    </row>
    <row r="307" spans="1:14" x14ac:dyDescent="0.2">
      <c r="A307" s="18" t="s">
        <v>244</v>
      </c>
      <c r="B307" s="22">
        <v>911</v>
      </c>
      <c r="C307" s="19" t="s">
        <v>19</v>
      </c>
      <c r="D307" s="19" t="s">
        <v>26</v>
      </c>
      <c r="E307" s="27" t="s">
        <v>241</v>
      </c>
      <c r="F307" s="19"/>
      <c r="G307" s="20">
        <f>G308</f>
        <v>0</v>
      </c>
      <c r="H307" s="20">
        <f>H308</f>
        <v>5000</v>
      </c>
      <c r="I307" s="20">
        <f>I308</f>
        <v>0</v>
      </c>
    </row>
    <row r="308" spans="1:14" s="29" customFormat="1" ht="25.5" x14ac:dyDescent="0.2">
      <c r="A308" s="31" t="s">
        <v>84</v>
      </c>
      <c r="B308" s="22">
        <v>911</v>
      </c>
      <c r="C308" s="19" t="s">
        <v>19</v>
      </c>
      <c r="D308" s="19" t="s">
        <v>26</v>
      </c>
      <c r="E308" s="27" t="s">
        <v>241</v>
      </c>
      <c r="F308" s="27" t="s">
        <v>72</v>
      </c>
      <c r="G308" s="28">
        <v>0</v>
      </c>
      <c r="H308" s="28">
        <v>5000</v>
      </c>
      <c r="I308" s="28">
        <v>0</v>
      </c>
    </row>
    <row r="309" spans="1:14" s="77" customFormat="1" ht="25.5" x14ac:dyDescent="0.2">
      <c r="A309" s="18" t="s">
        <v>266</v>
      </c>
      <c r="B309" s="18">
        <v>911</v>
      </c>
      <c r="C309" s="19" t="s">
        <v>19</v>
      </c>
      <c r="D309" s="19" t="s">
        <v>26</v>
      </c>
      <c r="E309" s="19" t="s">
        <v>152</v>
      </c>
      <c r="F309" s="19"/>
      <c r="G309" s="20">
        <f>G311+G310</f>
        <v>0</v>
      </c>
      <c r="H309" s="20">
        <f>H311+H310</f>
        <v>0</v>
      </c>
      <c r="I309" s="20">
        <f>I311+I310</f>
        <v>0</v>
      </c>
    </row>
    <row r="310" spans="1:14" s="77" customFormat="1" x14ac:dyDescent="0.2">
      <c r="A310" s="31" t="s">
        <v>70</v>
      </c>
      <c r="B310" s="31">
        <v>911</v>
      </c>
      <c r="C310" s="27" t="s">
        <v>19</v>
      </c>
      <c r="D310" s="27" t="s">
        <v>26</v>
      </c>
      <c r="E310" s="27" t="s">
        <v>152</v>
      </c>
      <c r="F310" s="27" t="s">
        <v>71</v>
      </c>
      <c r="G310" s="28"/>
      <c r="H310" s="28"/>
      <c r="I310" s="28"/>
    </row>
    <row r="311" spans="1:14" s="77" customFormat="1" ht="25.5" x14ac:dyDescent="0.2">
      <c r="A311" s="31" t="s">
        <v>169</v>
      </c>
      <c r="B311" s="31">
        <v>911</v>
      </c>
      <c r="C311" s="27" t="s">
        <v>19</v>
      </c>
      <c r="D311" s="27" t="s">
        <v>26</v>
      </c>
      <c r="E311" s="27" t="s">
        <v>152</v>
      </c>
      <c r="F311" s="27" t="s">
        <v>66</v>
      </c>
      <c r="G311" s="28"/>
      <c r="H311" s="28"/>
      <c r="I311" s="28"/>
    </row>
    <row r="312" spans="1:14" ht="63.75" x14ac:dyDescent="0.2">
      <c r="A312" s="18" t="s">
        <v>334</v>
      </c>
      <c r="B312" s="22">
        <v>911</v>
      </c>
      <c r="C312" s="19" t="s">
        <v>19</v>
      </c>
      <c r="D312" s="19" t="s">
        <v>26</v>
      </c>
      <c r="E312" s="19" t="s">
        <v>333</v>
      </c>
      <c r="F312" s="19"/>
      <c r="G312" s="20">
        <f>G313</f>
        <v>3360</v>
      </c>
      <c r="H312" s="20">
        <f>H313</f>
        <v>3360</v>
      </c>
      <c r="I312" s="20">
        <f>I313</f>
        <v>3360</v>
      </c>
    </row>
    <row r="313" spans="1:14" s="29" customFormat="1" ht="25.5" x14ac:dyDescent="0.2">
      <c r="A313" s="31" t="s">
        <v>169</v>
      </c>
      <c r="B313" s="35">
        <v>911</v>
      </c>
      <c r="C313" s="27" t="s">
        <v>19</v>
      </c>
      <c r="D313" s="27" t="s">
        <v>26</v>
      </c>
      <c r="E313" s="27" t="s">
        <v>333</v>
      </c>
      <c r="F313" s="27" t="s">
        <v>66</v>
      </c>
      <c r="G313" s="28">
        <v>3360</v>
      </c>
      <c r="H313" s="28">
        <v>3360</v>
      </c>
      <c r="I313" s="28">
        <v>3360</v>
      </c>
    </row>
    <row r="314" spans="1:14" ht="38.25" x14ac:dyDescent="0.2">
      <c r="A314" s="18" t="s">
        <v>336</v>
      </c>
      <c r="B314" s="22">
        <v>911</v>
      </c>
      <c r="C314" s="19" t="s">
        <v>19</v>
      </c>
      <c r="D314" s="19" t="s">
        <v>26</v>
      </c>
      <c r="E314" s="19" t="s">
        <v>335</v>
      </c>
      <c r="F314" s="19"/>
      <c r="G314" s="20">
        <f>G315+G316</f>
        <v>270.5</v>
      </c>
      <c r="H314" s="20">
        <f>H315+H316</f>
        <v>270.5</v>
      </c>
      <c r="I314" s="20">
        <f>I315+I316</f>
        <v>270.5</v>
      </c>
    </row>
    <row r="315" spans="1:14" s="29" customFormat="1" ht="25.5" x14ac:dyDescent="0.2">
      <c r="A315" s="31" t="s">
        <v>77</v>
      </c>
      <c r="B315" s="35">
        <v>911</v>
      </c>
      <c r="C315" s="27" t="s">
        <v>19</v>
      </c>
      <c r="D315" s="27" t="s">
        <v>26</v>
      </c>
      <c r="E315" s="27" t="s">
        <v>335</v>
      </c>
      <c r="F315" s="27" t="s">
        <v>69</v>
      </c>
      <c r="G315" s="28">
        <v>76.599999999999994</v>
      </c>
      <c r="H315" s="28">
        <v>76.599999999999994</v>
      </c>
      <c r="I315" s="28">
        <v>76.599999999999994</v>
      </c>
    </row>
    <row r="316" spans="1:14" s="29" customFormat="1" ht="25.5" x14ac:dyDescent="0.2">
      <c r="A316" s="31" t="s">
        <v>169</v>
      </c>
      <c r="B316" s="35">
        <v>911</v>
      </c>
      <c r="C316" s="27" t="s">
        <v>19</v>
      </c>
      <c r="D316" s="27" t="s">
        <v>26</v>
      </c>
      <c r="E316" s="27" t="s">
        <v>335</v>
      </c>
      <c r="F316" s="27" t="s">
        <v>66</v>
      </c>
      <c r="G316" s="28">
        <v>193.9</v>
      </c>
      <c r="H316" s="28">
        <v>193.9</v>
      </c>
      <c r="I316" s="28">
        <v>193.9</v>
      </c>
    </row>
    <row r="317" spans="1:14" ht="25.5" x14ac:dyDescent="0.2">
      <c r="A317" s="18" t="s">
        <v>269</v>
      </c>
      <c r="B317" s="22">
        <v>911</v>
      </c>
      <c r="C317" s="19" t="s">
        <v>19</v>
      </c>
      <c r="D317" s="19" t="s">
        <v>26</v>
      </c>
      <c r="E317" s="19" t="s">
        <v>270</v>
      </c>
      <c r="F317" s="19"/>
      <c r="G317" s="20">
        <f>G320+G319+G318</f>
        <v>1556.8</v>
      </c>
      <c r="H317" s="20">
        <f t="shared" ref="H317:I317" si="38">H320+H319+H318</f>
        <v>1556.8</v>
      </c>
      <c r="I317" s="20">
        <f t="shared" si="38"/>
        <v>1556.8</v>
      </c>
    </row>
    <row r="318" spans="1:14" s="29" customFormat="1" ht="25.5" x14ac:dyDescent="0.2">
      <c r="A318" s="31" t="s">
        <v>77</v>
      </c>
      <c r="B318" s="35">
        <v>911</v>
      </c>
      <c r="C318" s="27" t="s">
        <v>19</v>
      </c>
      <c r="D318" s="27" t="s">
        <v>26</v>
      </c>
      <c r="E318" s="27" t="s">
        <v>270</v>
      </c>
      <c r="F318" s="27" t="s">
        <v>69</v>
      </c>
      <c r="G318" s="28">
        <v>2</v>
      </c>
      <c r="H318" s="28">
        <v>2</v>
      </c>
      <c r="I318" s="28">
        <v>2</v>
      </c>
    </row>
    <row r="319" spans="1:14" s="29" customFormat="1" x14ac:dyDescent="0.2">
      <c r="A319" s="31" t="s">
        <v>70</v>
      </c>
      <c r="B319" s="35">
        <v>911</v>
      </c>
      <c r="C319" s="27" t="s">
        <v>19</v>
      </c>
      <c r="D319" s="27" t="s">
        <v>26</v>
      </c>
      <c r="E319" s="27" t="s">
        <v>270</v>
      </c>
      <c r="F319" s="27" t="s">
        <v>71</v>
      </c>
      <c r="G319" s="28">
        <v>1177.8</v>
      </c>
      <c r="H319" s="28">
        <v>1177.8</v>
      </c>
      <c r="I319" s="28">
        <v>1177.8</v>
      </c>
    </row>
    <row r="320" spans="1:14" s="29" customFormat="1" ht="25.5" x14ac:dyDescent="0.2">
      <c r="A320" s="31" t="s">
        <v>169</v>
      </c>
      <c r="B320" s="35">
        <v>911</v>
      </c>
      <c r="C320" s="27" t="s">
        <v>19</v>
      </c>
      <c r="D320" s="27" t="s">
        <v>26</v>
      </c>
      <c r="E320" s="27" t="s">
        <v>270</v>
      </c>
      <c r="F320" s="27" t="s">
        <v>66</v>
      </c>
      <c r="G320" s="28">
        <v>377</v>
      </c>
      <c r="H320" s="28">
        <v>377</v>
      </c>
      <c r="I320" s="28">
        <v>377</v>
      </c>
    </row>
    <row r="321" spans="1:14" ht="51" x14ac:dyDescent="0.2">
      <c r="A321" s="18" t="s">
        <v>338</v>
      </c>
      <c r="B321" s="22">
        <v>911</v>
      </c>
      <c r="C321" s="19" t="s">
        <v>19</v>
      </c>
      <c r="D321" s="19" t="s">
        <v>26</v>
      </c>
      <c r="E321" s="19" t="s">
        <v>337</v>
      </c>
      <c r="F321" s="19"/>
      <c r="G321" s="20">
        <f>G322+G323</f>
        <v>448</v>
      </c>
      <c r="H321" s="20">
        <f>H322+H323</f>
        <v>448</v>
      </c>
      <c r="I321" s="20">
        <f>I322+I323</f>
        <v>448</v>
      </c>
    </row>
    <row r="322" spans="1:14" s="29" customFormat="1" ht="63.75" x14ac:dyDescent="0.2">
      <c r="A322" s="34" t="s">
        <v>67</v>
      </c>
      <c r="B322" s="36">
        <v>911</v>
      </c>
      <c r="C322" s="27" t="s">
        <v>19</v>
      </c>
      <c r="D322" s="27" t="s">
        <v>26</v>
      </c>
      <c r="E322" s="27" t="s">
        <v>337</v>
      </c>
      <c r="F322" s="30" t="s">
        <v>68</v>
      </c>
      <c r="G322" s="28">
        <v>26.2</v>
      </c>
      <c r="H322" s="28">
        <v>26.2</v>
      </c>
      <c r="I322" s="28">
        <v>26.2</v>
      </c>
    </row>
    <row r="323" spans="1:14" s="29" customFormat="1" ht="25.5" x14ac:dyDescent="0.2">
      <c r="A323" s="31" t="s">
        <v>169</v>
      </c>
      <c r="B323" s="35">
        <v>911</v>
      </c>
      <c r="C323" s="27" t="s">
        <v>19</v>
      </c>
      <c r="D323" s="27" t="s">
        <v>26</v>
      </c>
      <c r="E323" s="27" t="s">
        <v>337</v>
      </c>
      <c r="F323" s="27" t="s">
        <v>66</v>
      </c>
      <c r="G323" s="28">
        <v>421.8</v>
      </c>
      <c r="H323" s="28">
        <v>421.8</v>
      </c>
      <c r="I323" s="28">
        <v>421.8</v>
      </c>
    </row>
    <row r="324" spans="1:14" ht="25.5" x14ac:dyDescent="0.2">
      <c r="A324" s="18" t="s">
        <v>340</v>
      </c>
      <c r="B324" s="22">
        <v>911</v>
      </c>
      <c r="C324" s="19" t="s">
        <v>19</v>
      </c>
      <c r="D324" s="19" t="s">
        <v>26</v>
      </c>
      <c r="E324" s="19" t="s">
        <v>339</v>
      </c>
      <c r="F324" s="19"/>
      <c r="G324" s="20">
        <f>G325</f>
        <v>785.2</v>
      </c>
      <c r="H324" s="20">
        <f>H325</f>
        <v>785.2</v>
      </c>
      <c r="I324" s="20">
        <f>I325</f>
        <v>785.2</v>
      </c>
    </row>
    <row r="325" spans="1:14" s="29" customFormat="1" ht="25.5" x14ac:dyDescent="0.2">
      <c r="A325" s="31" t="s">
        <v>169</v>
      </c>
      <c r="B325" s="35">
        <v>911</v>
      </c>
      <c r="C325" s="27" t="s">
        <v>19</v>
      </c>
      <c r="D325" s="27" t="s">
        <v>26</v>
      </c>
      <c r="E325" s="27" t="s">
        <v>339</v>
      </c>
      <c r="F325" s="27" t="s">
        <v>66</v>
      </c>
      <c r="G325" s="28">
        <v>785.2</v>
      </c>
      <c r="H325" s="28">
        <v>785.2</v>
      </c>
      <c r="I325" s="28">
        <v>785.2</v>
      </c>
    </row>
    <row r="326" spans="1:14" ht="25.5" x14ac:dyDescent="0.2">
      <c r="A326" s="18" t="s">
        <v>341</v>
      </c>
      <c r="B326" s="22">
        <v>911</v>
      </c>
      <c r="C326" s="5" t="s">
        <v>19</v>
      </c>
      <c r="D326" s="5" t="s">
        <v>26</v>
      </c>
      <c r="E326" s="5" t="s">
        <v>136</v>
      </c>
      <c r="F326" s="19"/>
      <c r="G326" s="20">
        <f>G327+G328</f>
        <v>2419</v>
      </c>
      <c r="H326" s="20">
        <f>H327+H328</f>
        <v>2419</v>
      </c>
      <c r="I326" s="20">
        <f>I327+I328</f>
        <v>2419</v>
      </c>
    </row>
    <row r="327" spans="1:14" s="29" customFormat="1" ht="63.75" x14ac:dyDescent="0.2">
      <c r="A327" s="26" t="s">
        <v>67</v>
      </c>
      <c r="B327" s="35">
        <v>911</v>
      </c>
      <c r="C327" s="27" t="s">
        <v>19</v>
      </c>
      <c r="D327" s="27" t="s">
        <v>26</v>
      </c>
      <c r="E327" s="27" t="s">
        <v>136</v>
      </c>
      <c r="F327" s="30" t="s">
        <v>68</v>
      </c>
      <c r="G327" s="28">
        <f>1464.5+442.3+2</f>
        <v>1908.8</v>
      </c>
      <c r="H327" s="28">
        <f>1464.5+442.3+2</f>
        <v>1908.8</v>
      </c>
      <c r="I327" s="28">
        <f>1464.5+442.3+2</f>
        <v>1908.8</v>
      </c>
      <c r="J327" s="21"/>
      <c r="K327" s="21"/>
      <c r="L327" s="21"/>
      <c r="M327" s="21"/>
      <c r="N327" s="21"/>
    </row>
    <row r="328" spans="1:14" s="29" customFormat="1" ht="25.5" x14ac:dyDescent="0.2">
      <c r="A328" s="31" t="s">
        <v>77</v>
      </c>
      <c r="B328" s="55">
        <v>911</v>
      </c>
      <c r="C328" s="27" t="s">
        <v>19</v>
      </c>
      <c r="D328" s="27" t="s">
        <v>26</v>
      </c>
      <c r="E328" s="27" t="s">
        <v>136</v>
      </c>
      <c r="F328" s="30" t="s">
        <v>69</v>
      </c>
      <c r="G328" s="28">
        <f>510.2</f>
        <v>510.2</v>
      </c>
      <c r="H328" s="28">
        <f>510.2</f>
        <v>510.2</v>
      </c>
      <c r="I328" s="28">
        <f>510.2</f>
        <v>510.2</v>
      </c>
      <c r="J328" s="21"/>
      <c r="K328" s="21"/>
      <c r="L328" s="21"/>
      <c r="M328" s="21"/>
      <c r="N328" s="21"/>
    </row>
    <row r="329" spans="1:14" ht="38.25" x14ac:dyDescent="0.2">
      <c r="A329" s="18" t="s">
        <v>342</v>
      </c>
      <c r="B329" s="22">
        <v>911</v>
      </c>
      <c r="C329" s="19" t="s">
        <v>19</v>
      </c>
      <c r="D329" s="19" t="s">
        <v>26</v>
      </c>
      <c r="E329" s="19" t="s">
        <v>343</v>
      </c>
      <c r="F329" s="19"/>
      <c r="G329" s="20">
        <f>G330+G331</f>
        <v>2406.1</v>
      </c>
      <c r="H329" s="20">
        <f>H330+H331</f>
        <v>2406.1</v>
      </c>
      <c r="I329" s="20">
        <f>I330+I331</f>
        <v>2406.1</v>
      </c>
    </row>
    <row r="330" spans="1:14" s="29" customFormat="1" ht="63.75" x14ac:dyDescent="0.2">
      <c r="A330" s="26" t="s">
        <v>67</v>
      </c>
      <c r="B330" s="35">
        <v>911</v>
      </c>
      <c r="C330" s="27" t="s">
        <v>19</v>
      </c>
      <c r="D330" s="27" t="s">
        <v>26</v>
      </c>
      <c r="E330" s="27" t="s">
        <v>343</v>
      </c>
      <c r="F330" s="30" t="s">
        <v>68</v>
      </c>
      <c r="G330" s="28">
        <v>2350.1</v>
      </c>
      <c r="H330" s="28">
        <v>2350.1</v>
      </c>
      <c r="I330" s="28">
        <v>2350.1</v>
      </c>
      <c r="J330" s="21"/>
      <c r="K330" s="21"/>
      <c r="L330" s="21"/>
      <c r="M330" s="21"/>
      <c r="N330" s="21"/>
    </row>
    <row r="331" spans="1:14" s="29" customFormat="1" ht="25.5" x14ac:dyDescent="0.2">
      <c r="A331" s="31" t="s">
        <v>77</v>
      </c>
      <c r="B331" s="35">
        <v>911</v>
      </c>
      <c r="C331" s="27" t="s">
        <v>19</v>
      </c>
      <c r="D331" s="27" t="s">
        <v>26</v>
      </c>
      <c r="E331" s="27" t="s">
        <v>343</v>
      </c>
      <c r="F331" s="30" t="s">
        <v>69</v>
      </c>
      <c r="G331" s="28">
        <v>56</v>
      </c>
      <c r="H331" s="28">
        <v>56</v>
      </c>
      <c r="I331" s="28">
        <v>56</v>
      </c>
      <c r="J331" s="21"/>
      <c r="K331" s="21"/>
      <c r="L331" s="21"/>
      <c r="M331" s="21"/>
      <c r="N331" s="21"/>
    </row>
    <row r="332" spans="1:14" ht="38.25" x14ac:dyDescent="0.2">
      <c r="A332" s="18" t="s">
        <v>344</v>
      </c>
      <c r="B332" s="22">
        <v>911</v>
      </c>
      <c r="C332" s="19" t="s">
        <v>19</v>
      </c>
      <c r="D332" s="19" t="s">
        <v>26</v>
      </c>
      <c r="E332" s="19" t="s">
        <v>345</v>
      </c>
      <c r="F332" s="19"/>
      <c r="G332" s="20">
        <f>G333</f>
        <v>11926.3</v>
      </c>
      <c r="H332" s="20">
        <f>H333</f>
        <v>11926.3</v>
      </c>
      <c r="I332" s="20">
        <f>I333</f>
        <v>11926.3</v>
      </c>
    </row>
    <row r="333" spans="1:14" s="29" customFormat="1" ht="25.5" x14ac:dyDescent="0.2">
      <c r="A333" s="31" t="s">
        <v>169</v>
      </c>
      <c r="B333" s="35">
        <v>911</v>
      </c>
      <c r="C333" s="27" t="s">
        <v>19</v>
      </c>
      <c r="D333" s="27" t="s">
        <v>26</v>
      </c>
      <c r="E333" s="27" t="s">
        <v>345</v>
      </c>
      <c r="F333" s="27" t="s">
        <v>66</v>
      </c>
      <c r="G333" s="28">
        <v>11926.3</v>
      </c>
      <c r="H333" s="28">
        <v>11926.3</v>
      </c>
      <c r="I333" s="28">
        <v>11926.3</v>
      </c>
      <c r="J333" s="21"/>
      <c r="K333" s="21"/>
      <c r="L333" s="21"/>
      <c r="M333" s="21"/>
      <c r="N333" s="21"/>
    </row>
    <row r="334" spans="1:14" ht="38.25" x14ac:dyDescent="0.2">
      <c r="A334" s="18" t="s">
        <v>347</v>
      </c>
      <c r="B334" s="22">
        <v>911</v>
      </c>
      <c r="C334" s="19" t="s">
        <v>19</v>
      </c>
      <c r="D334" s="19" t="s">
        <v>26</v>
      </c>
      <c r="E334" s="19" t="s">
        <v>346</v>
      </c>
      <c r="F334" s="19"/>
      <c r="G334" s="20">
        <f>G335+G336+G337+G338</f>
        <v>27682.5</v>
      </c>
      <c r="H334" s="20">
        <f>H335+H336+H337+H338</f>
        <v>26982.5</v>
      </c>
      <c r="I334" s="20">
        <f>I335+I336+I337+I338</f>
        <v>26982.5</v>
      </c>
    </row>
    <row r="335" spans="1:14" s="29" customFormat="1" ht="63.75" x14ac:dyDescent="0.2">
      <c r="A335" s="34" t="s">
        <v>67</v>
      </c>
      <c r="B335" s="36">
        <v>911</v>
      </c>
      <c r="C335" s="27" t="s">
        <v>19</v>
      </c>
      <c r="D335" s="27" t="s">
        <v>26</v>
      </c>
      <c r="E335" s="27" t="s">
        <v>346</v>
      </c>
      <c r="F335" s="30" t="s">
        <v>68</v>
      </c>
      <c r="G335" s="28">
        <v>3908.7</v>
      </c>
      <c r="H335" s="28">
        <v>3908.7</v>
      </c>
      <c r="I335" s="28">
        <v>3908.7</v>
      </c>
    </row>
    <row r="336" spans="1:14" s="29" customFormat="1" ht="25.5" x14ac:dyDescent="0.2">
      <c r="A336" s="31" t="s">
        <v>77</v>
      </c>
      <c r="B336" s="36">
        <v>911</v>
      </c>
      <c r="C336" s="27" t="s">
        <v>19</v>
      </c>
      <c r="D336" s="27" t="s">
        <v>26</v>
      </c>
      <c r="E336" s="27" t="s">
        <v>346</v>
      </c>
      <c r="F336" s="30" t="s">
        <v>69</v>
      </c>
      <c r="G336" s="28">
        <v>387</v>
      </c>
      <c r="H336" s="28">
        <v>387</v>
      </c>
      <c r="I336" s="28">
        <v>387</v>
      </c>
    </row>
    <row r="337" spans="1:16" s="29" customFormat="1" ht="25.5" x14ac:dyDescent="0.2">
      <c r="A337" s="31" t="s">
        <v>169</v>
      </c>
      <c r="B337" s="35">
        <v>911</v>
      </c>
      <c r="C337" s="27" t="s">
        <v>19</v>
      </c>
      <c r="D337" s="27" t="s">
        <v>26</v>
      </c>
      <c r="E337" s="27" t="s">
        <v>346</v>
      </c>
      <c r="F337" s="27" t="s">
        <v>66</v>
      </c>
      <c r="G337" s="28">
        <v>23136.799999999999</v>
      </c>
      <c r="H337" s="28">
        <v>22436.799999999999</v>
      </c>
      <c r="I337" s="28">
        <v>22436.799999999999</v>
      </c>
      <c r="J337" s="21"/>
      <c r="K337" s="21"/>
      <c r="L337" s="21"/>
      <c r="M337" s="21"/>
      <c r="N337" s="21"/>
    </row>
    <row r="338" spans="1:16" s="29" customFormat="1" x14ac:dyDescent="0.2">
      <c r="A338" s="31" t="s">
        <v>73</v>
      </c>
      <c r="B338" s="35">
        <v>911</v>
      </c>
      <c r="C338" s="27" t="s">
        <v>19</v>
      </c>
      <c r="D338" s="27" t="s">
        <v>26</v>
      </c>
      <c r="E338" s="27" t="s">
        <v>346</v>
      </c>
      <c r="F338" s="27" t="s">
        <v>74</v>
      </c>
      <c r="G338" s="28">
        <v>250</v>
      </c>
      <c r="H338" s="28">
        <v>250</v>
      </c>
      <c r="I338" s="28">
        <v>250</v>
      </c>
      <c r="J338" s="21"/>
      <c r="K338" s="21"/>
      <c r="L338" s="21"/>
      <c r="M338" s="21"/>
      <c r="N338" s="21"/>
    </row>
    <row r="339" spans="1:16" s="3" customFormat="1" x14ac:dyDescent="0.2">
      <c r="A339" s="13" t="s">
        <v>53</v>
      </c>
      <c r="B339" s="50">
        <v>911</v>
      </c>
      <c r="C339" s="1" t="s">
        <v>52</v>
      </c>
      <c r="D339" s="1"/>
      <c r="E339" s="1"/>
      <c r="F339" s="1"/>
      <c r="G339" s="2">
        <f>G340+G357</f>
        <v>55998</v>
      </c>
      <c r="H339" s="2">
        <f>H340+H357</f>
        <v>55998</v>
      </c>
      <c r="I339" s="2">
        <f>I340+I357</f>
        <v>55998</v>
      </c>
    </row>
    <row r="340" spans="1:16" s="9" customFormat="1" x14ac:dyDescent="0.2">
      <c r="A340" s="11" t="s">
        <v>56</v>
      </c>
      <c r="B340" s="14">
        <v>911</v>
      </c>
      <c r="C340" s="8" t="s">
        <v>52</v>
      </c>
      <c r="D340" s="8" t="s">
        <v>16</v>
      </c>
      <c r="E340" s="8"/>
      <c r="F340" s="8"/>
      <c r="G340" s="4">
        <f>G341+G346+G348+G344+G353+G355+G350</f>
        <v>9820.9</v>
      </c>
      <c r="H340" s="4">
        <f t="shared" ref="H340:I340" si="39">H341+H346+H348+H344+H353+H355+H350</f>
        <v>9820.9</v>
      </c>
      <c r="I340" s="4">
        <f t="shared" si="39"/>
        <v>9820.9</v>
      </c>
    </row>
    <row r="341" spans="1:16" ht="38.25" x14ac:dyDescent="0.2">
      <c r="A341" s="18" t="s">
        <v>348</v>
      </c>
      <c r="B341" s="22">
        <v>911</v>
      </c>
      <c r="C341" s="19" t="s">
        <v>52</v>
      </c>
      <c r="D341" s="19" t="s">
        <v>16</v>
      </c>
      <c r="E341" s="19" t="s">
        <v>88</v>
      </c>
      <c r="F341" s="19"/>
      <c r="G341" s="20">
        <f>G343+G342</f>
        <v>881</v>
      </c>
      <c r="H341" s="20">
        <f t="shared" ref="H341:I341" si="40">H343+H342</f>
        <v>881</v>
      </c>
      <c r="I341" s="20">
        <f t="shared" si="40"/>
        <v>881</v>
      </c>
    </row>
    <row r="342" spans="1:16" x14ac:dyDescent="0.2">
      <c r="A342" s="29" t="s">
        <v>70</v>
      </c>
      <c r="B342" s="26">
        <v>911</v>
      </c>
      <c r="C342" s="27" t="s">
        <v>52</v>
      </c>
      <c r="D342" s="27" t="s">
        <v>16</v>
      </c>
      <c r="E342" s="27" t="s">
        <v>88</v>
      </c>
      <c r="F342" s="30" t="s">
        <v>71</v>
      </c>
      <c r="G342" s="28">
        <f>35.6</f>
        <v>35.6</v>
      </c>
      <c r="H342" s="28">
        <f>35.6</f>
        <v>35.6</v>
      </c>
      <c r="I342" s="28">
        <f>35.6</f>
        <v>35.6</v>
      </c>
    </row>
    <row r="343" spans="1:16" s="29" customFormat="1" ht="25.5" x14ac:dyDescent="0.2">
      <c r="A343" s="31" t="s">
        <v>169</v>
      </c>
      <c r="B343" s="35">
        <v>911</v>
      </c>
      <c r="C343" s="27" t="s">
        <v>52</v>
      </c>
      <c r="D343" s="27" t="s">
        <v>16</v>
      </c>
      <c r="E343" s="27" t="s">
        <v>88</v>
      </c>
      <c r="F343" s="27" t="s">
        <v>66</v>
      </c>
      <c r="G343" s="28">
        <f>783.4+62</f>
        <v>845.4</v>
      </c>
      <c r="H343" s="28">
        <f>783.4+62</f>
        <v>845.4</v>
      </c>
      <c r="I343" s="28">
        <f>783.4+62</f>
        <v>845.4</v>
      </c>
      <c r="J343" s="21"/>
      <c r="K343" s="21"/>
      <c r="L343" s="21"/>
      <c r="M343" s="21"/>
      <c r="N343" s="21"/>
    </row>
    <row r="344" spans="1:16" ht="51" x14ac:dyDescent="0.2">
      <c r="A344" s="18" t="s">
        <v>349</v>
      </c>
      <c r="B344" s="22">
        <v>911</v>
      </c>
      <c r="C344" s="19" t="s">
        <v>52</v>
      </c>
      <c r="D344" s="19" t="s">
        <v>16</v>
      </c>
      <c r="E344" s="19" t="s">
        <v>140</v>
      </c>
      <c r="F344" s="19"/>
      <c r="G344" s="20">
        <f>G345</f>
        <v>207</v>
      </c>
      <c r="H344" s="20">
        <f>H345</f>
        <v>207</v>
      </c>
      <c r="I344" s="20">
        <f>I345</f>
        <v>207</v>
      </c>
    </row>
    <row r="345" spans="1:16" s="29" customFormat="1" x14ac:dyDescent="0.2">
      <c r="A345" s="29" t="s">
        <v>70</v>
      </c>
      <c r="B345" s="35">
        <v>911</v>
      </c>
      <c r="C345" s="27" t="s">
        <v>52</v>
      </c>
      <c r="D345" s="27" t="s">
        <v>16</v>
      </c>
      <c r="E345" s="27" t="s">
        <v>140</v>
      </c>
      <c r="F345" s="33">
        <v>300</v>
      </c>
      <c r="G345" s="28">
        <f>207</f>
        <v>207</v>
      </c>
      <c r="H345" s="28">
        <f>207</f>
        <v>207</v>
      </c>
      <c r="I345" s="28">
        <f>207</f>
        <v>207</v>
      </c>
      <c r="J345" s="21"/>
      <c r="K345" s="21"/>
      <c r="L345" s="21"/>
      <c r="M345" s="21"/>
      <c r="N345" s="21"/>
    </row>
    <row r="346" spans="1:16" ht="63.75" x14ac:dyDescent="0.2">
      <c r="A346" s="18" t="s">
        <v>350</v>
      </c>
      <c r="B346" s="22">
        <v>911</v>
      </c>
      <c r="C346" s="19" t="s">
        <v>52</v>
      </c>
      <c r="D346" s="19" t="s">
        <v>16</v>
      </c>
      <c r="E346" s="27" t="s">
        <v>139</v>
      </c>
      <c r="F346" s="19"/>
      <c r="G346" s="20">
        <f>G347</f>
        <v>387</v>
      </c>
      <c r="H346" s="20">
        <f>H347</f>
        <v>387</v>
      </c>
      <c r="I346" s="20">
        <f>I347</f>
        <v>387</v>
      </c>
    </row>
    <row r="347" spans="1:16" s="29" customFormat="1" x14ac:dyDescent="0.2">
      <c r="A347" s="29" t="s">
        <v>70</v>
      </c>
      <c r="B347" s="35">
        <v>911</v>
      </c>
      <c r="C347" s="27" t="s">
        <v>52</v>
      </c>
      <c r="D347" s="27" t="s">
        <v>16</v>
      </c>
      <c r="E347" s="27" t="s">
        <v>139</v>
      </c>
      <c r="F347" s="33">
        <v>300</v>
      </c>
      <c r="G347" s="28">
        <f>387</f>
        <v>387</v>
      </c>
      <c r="H347" s="28">
        <f>387</f>
        <v>387</v>
      </c>
      <c r="I347" s="28">
        <f>387</f>
        <v>387</v>
      </c>
      <c r="J347" s="21"/>
      <c r="K347" s="21"/>
      <c r="L347" s="21"/>
      <c r="M347" s="21"/>
      <c r="N347" s="21"/>
    </row>
    <row r="348" spans="1:16" ht="38.25" x14ac:dyDescent="0.2">
      <c r="A348" s="56" t="s">
        <v>351</v>
      </c>
      <c r="B348" s="22">
        <v>911</v>
      </c>
      <c r="C348" s="19" t="s">
        <v>52</v>
      </c>
      <c r="D348" s="19" t="s">
        <v>16</v>
      </c>
      <c r="E348" s="19" t="s">
        <v>138</v>
      </c>
      <c r="F348" s="19"/>
      <c r="G348" s="20">
        <f>G349</f>
        <v>570</v>
      </c>
      <c r="H348" s="20">
        <f>H349</f>
        <v>570</v>
      </c>
      <c r="I348" s="20">
        <f>I349</f>
        <v>570</v>
      </c>
      <c r="O348" s="29"/>
      <c r="P348" s="29"/>
    </row>
    <row r="349" spans="1:16" s="29" customFormat="1" x14ac:dyDescent="0.2">
      <c r="A349" s="29" t="s">
        <v>70</v>
      </c>
      <c r="B349" s="35">
        <v>911</v>
      </c>
      <c r="C349" s="27" t="s">
        <v>52</v>
      </c>
      <c r="D349" s="27" t="s">
        <v>16</v>
      </c>
      <c r="E349" s="27" t="s">
        <v>138</v>
      </c>
      <c r="F349" s="27" t="s">
        <v>71</v>
      </c>
      <c r="G349" s="28">
        <f>570</f>
        <v>570</v>
      </c>
      <c r="H349" s="28">
        <f>570</f>
        <v>570</v>
      </c>
      <c r="I349" s="28">
        <f>570</f>
        <v>570</v>
      </c>
      <c r="J349" s="21"/>
      <c r="K349" s="21"/>
      <c r="L349" s="21"/>
      <c r="M349" s="21"/>
      <c r="N349" s="21"/>
      <c r="O349" s="21"/>
      <c r="P349" s="21"/>
    </row>
    <row r="350" spans="1:16" ht="25.5" x14ac:dyDescent="0.2">
      <c r="A350" s="56" t="s">
        <v>352</v>
      </c>
      <c r="B350" s="73" t="s">
        <v>145</v>
      </c>
      <c r="C350" s="19" t="s">
        <v>52</v>
      </c>
      <c r="D350" s="19" t="s">
        <v>16</v>
      </c>
      <c r="E350" s="19" t="s">
        <v>146</v>
      </c>
      <c r="F350" s="19"/>
      <c r="G350" s="20">
        <f>G352+G351</f>
        <v>550.9</v>
      </c>
      <c r="H350" s="20">
        <f>H352+H351</f>
        <v>550.9</v>
      </c>
      <c r="I350" s="20">
        <f>I352+I351</f>
        <v>550.9</v>
      </c>
      <c r="O350" s="29"/>
      <c r="P350" s="29"/>
    </row>
    <row r="351" spans="1:16" ht="25.5" x14ac:dyDescent="0.2">
      <c r="A351" s="31" t="s">
        <v>77</v>
      </c>
      <c r="B351" s="26">
        <v>911</v>
      </c>
      <c r="C351" s="27" t="s">
        <v>52</v>
      </c>
      <c r="D351" s="27" t="s">
        <v>16</v>
      </c>
      <c r="E351" s="27" t="s">
        <v>146</v>
      </c>
      <c r="F351" s="30" t="s">
        <v>69</v>
      </c>
      <c r="G351" s="28">
        <f>159</f>
        <v>159</v>
      </c>
      <c r="H351" s="28">
        <f>159</f>
        <v>159</v>
      </c>
      <c r="I351" s="28">
        <f>159</f>
        <v>159</v>
      </c>
    </row>
    <row r="352" spans="1:16" ht="25.5" x14ac:dyDescent="0.2">
      <c r="A352" s="31" t="s">
        <v>169</v>
      </c>
      <c r="B352" s="31">
        <v>911</v>
      </c>
      <c r="C352" s="27" t="s">
        <v>52</v>
      </c>
      <c r="D352" s="27" t="s">
        <v>16</v>
      </c>
      <c r="E352" s="27" t="s">
        <v>146</v>
      </c>
      <c r="F352" s="27" t="s">
        <v>66</v>
      </c>
      <c r="G352" s="28">
        <f>371.5+20.4</f>
        <v>391.9</v>
      </c>
      <c r="H352" s="28">
        <f>371.5+20.4</f>
        <v>391.9</v>
      </c>
      <c r="I352" s="28">
        <f>371.5+20.4</f>
        <v>391.9</v>
      </c>
      <c r="J352" s="9"/>
      <c r="K352" s="9"/>
      <c r="L352" s="9"/>
      <c r="M352" s="9"/>
      <c r="N352" s="9"/>
      <c r="O352" s="9"/>
      <c r="P352" s="9"/>
    </row>
    <row r="353" spans="1:16" ht="76.5" x14ac:dyDescent="0.2">
      <c r="A353" s="18" t="s">
        <v>353</v>
      </c>
      <c r="B353" s="22">
        <v>911</v>
      </c>
      <c r="C353" s="19" t="s">
        <v>52</v>
      </c>
      <c r="D353" s="19" t="s">
        <v>16</v>
      </c>
      <c r="E353" s="19" t="s">
        <v>141</v>
      </c>
      <c r="F353" s="19"/>
      <c r="G353" s="20">
        <f>G354</f>
        <v>1000</v>
      </c>
      <c r="H353" s="20">
        <f>H354</f>
        <v>1000</v>
      </c>
      <c r="I353" s="20">
        <f>I354</f>
        <v>1000</v>
      </c>
    </row>
    <row r="354" spans="1:16" s="29" customFormat="1" x14ac:dyDescent="0.2">
      <c r="A354" s="31" t="s">
        <v>70</v>
      </c>
      <c r="B354" s="35">
        <v>911</v>
      </c>
      <c r="C354" s="27" t="s">
        <v>52</v>
      </c>
      <c r="D354" s="27" t="s">
        <v>16</v>
      </c>
      <c r="E354" s="27" t="s">
        <v>141</v>
      </c>
      <c r="F354" s="27" t="s">
        <v>71</v>
      </c>
      <c r="G354" s="28">
        <f>1000</f>
        <v>1000</v>
      </c>
      <c r="H354" s="28">
        <f>1000</f>
        <v>1000</v>
      </c>
      <c r="I354" s="28">
        <f>1000</f>
        <v>1000</v>
      </c>
      <c r="J354" s="21"/>
      <c r="K354" s="21"/>
      <c r="L354" s="21"/>
      <c r="M354" s="21"/>
      <c r="N354" s="21"/>
      <c r="O354" s="21"/>
      <c r="P354" s="21"/>
    </row>
    <row r="355" spans="1:16" ht="51" x14ac:dyDescent="0.2">
      <c r="A355" s="18" t="s">
        <v>354</v>
      </c>
      <c r="B355" s="22">
        <v>911</v>
      </c>
      <c r="C355" s="19" t="s">
        <v>52</v>
      </c>
      <c r="D355" s="19" t="s">
        <v>16</v>
      </c>
      <c r="E355" s="19" t="s">
        <v>122</v>
      </c>
      <c r="F355" s="19"/>
      <c r="G355" s="20">
        <f>G356</f>
        <v>6225</v>
      </c>
      <c r="H355" s="20">
        <f>H356</f>
        <v>6225</v>
      </c>
      <c r="I355" s="20">
        <f>I356</f>
        <v>6225</v>
      </c>
      <c r="O355" s="29"/>
      <c r="P355" s="29"/>
    </row>
    <row r="356" spans="1:16" s="29" customFormat="1" ht="25.5" x14ac:dyDescent="0.2">
      <c r="A356" s="31" t="s">
        <v>169</v>
      </c>
      <c r="B356" s="35">
        <v>911</v>
      </c>
      <c r="C356" s="27" t="s">
        <v>52</v>
      </c>
      <c r="D356" s="27" t="s">
        <v>16</v>
      </c>
      <c r="E356" s="27" t="s">
        <v>122</v>
      </c>
      <c r="F356" s="27" t="s">
        <v>66</v>
      </c>
      <c r="G356" s="28">
        <v>6225</v>
      </c>
      <c r="H356" s="28">
        <v>6225</v>
      </c>
      <c r="I356" s="28">
        <v>6225</v>
      </c>
      <c r="J356" s="21"/>
      <c r="K356" s="21"/>
      <c r="L356" s="21"/>
      <c r="M356" s="21"/>
      <c r="N356" s="21"/>
      <c r="O356" s="21"/>
      <c r="P356" s="21"/>
    </row>
    <row r="357" spans="1:16" s="9" customFormat="1" x14ac:dyDescent="0.2">
      <c r="A357" s="11" t="s">
        <v>57</v>
      </c>
      <c r="B357" s="14">
        <v>911</v>
      </c>
      <c r="C357" s="8" t="s">
        <v>52</v>
      </c>
      <c r="D357" s="8" t="s">
        <v>18</v>
      </c>
      <c r="E357" s="8"/>
      <c r="F357" s="8"/>
      <c r="G357" s="4">
        <f>G358+G361+G365</f>
        <v>46177.1</v>
      </c>
      <c r="H357" s="4">
        <f>H358+H361+H365</f>
        <v>46177.1</v>
      </c>
      <c r="I357" s="4">
        <f>I358+I361+I365</f>
        <v>46177.1</v>
      </c>
      <c r="J357" s="29"/>
      <c r="K357" s="29"/>
      <c r="L357" s="29"/>
      <c r="M357" s="29"/>
      <c r="N357" s="29"/>
      <c r="O357" s="29"/>
      <c r="P357" s="29"/>
    </row>
    <row r="358" spans="1:16" ht="38.25" x14ac:dyDescent="0.2">
      <c r="A358" s="18" t="s">
        <v>355</v>
      </c>
      <c r="B358" s="22">
        <v>911</v>
      </c>
      <c r="C358" s="19" t="s">
        <v>52</v>
      </c>
      <c r="D358" s="19" t="s">
        <v>18</v>
      </c>
      <c r="E358" s="19" t="s">
        <v>144</v>
      </c>
      <c r="F358" s="19"/>
      <c r="G358" s="20">
        <f>G360+G359</f>
        <v>1791.1</v>
      </c>
      <c r="H358" s="20">
        <f>H360+H359</f>
        <v>1791.1</v>
      </c>
      <c r="I358" s="20">
        <f>I360+I359</f>
        <v>1791.1</v>
      </c>
      <c r="O358" s="29"/>
      <c r="P358" s="29"/>
    </row>
    <row r="359" spans="1:16" ht="25.5" x14ac:dyDescent="0.2">
      <c r="A359" s="31" t="s">
        <v>77</v>
      </c>
      <c r="B359" s="26">
        <v>911</v>
      </c>
      <c r="C359" s="27" t="s">
        <v>52</v>
      </c>
      <c r="D359" s="27" t="s">
        <v>18</v>
      </c>
      <c r="E359" s="27" t="s">
        <v>144</v>
      </c>
      <c r="F359" s="30" t="s">
        <v>69</v>
      </c>
      <c r="G359" s="28"/>
      <c r="H359" s="28"/>
      <c r="I359" s="28"/>
      <c r="J359" s="29"/>
      <c r="K359" s="29"/>
      <c r="L359" s="29"/>
      <c r="M359" s="29"/>
      <c r="N359" s="29"/>
      <c r="O359" s="29"/>
      <c r="P359" s="29"/>
    </row>
    <row r="360" spans="1:16" s="29" customFormat="1" x14ac:dyDescent="0.2">
      <c r="A360" s="31" t="s">
        <v>70</v>
      </c>
      <c r="B360" s="35">
        <v>911</v>
      </c>
      <c r="C360" s="27" t="s">
        <v>52</v>
      </c>
      <c r="D360" s="27" t="s">
        <v>18</v>
      </c>
      <c r="E360" s="27" t="s">
        <v>144</v>
      </c>
      <c r="F360" s="27" t="s">
        <v>71</v>
      </c>
      <c r="G360" s="28">
        <f>1791.1</f>
        <v>1791.1</v>
      </c>
      <c r="H360" s="28">
        <f>1791.1</f>
        <v>1791.1</v>
      </c>
      <c r="I360" s="28">
        <f>1791.1</f>
        <v>1791.1</v>
      </c>
      <c r="J360" s="21"/>
      <c r="K360" s="21"/>
      <c r="L360" s="21"/>
      <c r="M360" s="21"/>
      <c r="N360" s="21"/>
      <c r="O360" s="21"/>
      <c r="P360" s="21"/>
    </row>
    <row r="361" spans="1:16" ht="51" x14ac:dyDescent="0.2">
      <c r="A361" s="18" t="s">
        <v>356</v>
      </c>
      <c r="B361" s="22">
        <v>911</v>
      </c>
      <c r="C361" s="19" t="s">
        <v>52</v>
      </c>
      <c r="D361" s="19" t="s">
        <v>18</v>
      </c>
      <c r="E361" s="19" t="s">
        <v>142</v>
      </c>
      <c r="F361" s="19"/>
      <c r="G361" s="20">
        <f>G363+G364+G362</f>
        <v>6505</v>
      </c>
      <c r="H361" s="20">
        <f>H363+H364+H362</f>
        <v>6505</v>
      </c>
      <c r="I361" s="20">
        <f>I363+I364+I362</f>
        <v>6505</v>
      </c>
      <c r="J361" s="29"/>
      <c r="K361" s="29"/>
      <c r="L361" s="29"/>
      <c r="M361" s="29"/>
      <c r="N361" s="29"/>
      <c r="O361" s="29"/>
      <c r="P361" s="29"/>
    </row>
    <row r="362" spans="1:16" s="29" customFormat="1" ht="25.5" x14ac:dyDescent="0.2">
      <c r="A362" s="31" t="s">
        <v>77</v>
      </c>
      <c r="B362" s="36">
        <v>911</v>
      </c>
      <c r="C362" s="27" t="s">
        <v>52</v>
      </c>
      <c r="D362" s="27" t="s">
        <v>18</v>
      </c>
      <c r="E362" s="27" t="s">
        <v>142</v>
      </c>
      <c r="F362" s="30" t="s">
        <v>69</v>
      </c>
      <c r="G362" s="28">
        <f>3.5</f>
        <v>3.5</v>
      </c>
      <c r="H362" s="28">
        <f>3.5</f>
        <v>3.5</v>
      </c>
      <c r="I362" s="28">
        <f>3.5</f>
        <v>3.5</v>
      </c>
      <c r="J362" s="21"/>
      <c r="K362" s="21"/>
      <c r="L362" s="21"/>
      <c r="M362" s="21"/>
      <c r="N362" s="21"/>
    </row>
    <row r="363" spans="1:16" s="29" customFormat="1" x14ac:dyDescent="0.2">
      <c r="A363" s="29" t="s">
        <v>70</v>
      </c>
      <c r="B363" s="35">
        <v>911</v>
      </c>
      <c r="C363" s="27" t="s">
        <v>52</v>
      </c>
      <c r="D363" s="27" t="s">
        <v>18</v>
      </c>
      <c r="E363" s="27" t="s">
        <v>142</v>
      </c>
      <c r="F363" s="33">
        <v>300</v>
      </c>
      <c r="G363" s="28">
        <f>350</f>
        <v>350</v>
      </c>
      <c r="H363" s="28">
        <f>350</f>
        <v>350</v>
      </c>
      <c r="I363" s="28">
        <f>350</f>
        <v>350</v>
      </c>
      <c r="J363" s="9"/>
      <c r="K363" s="9"/>
      <c r="L363" s="9"/>
      <c r="M363" s="9"/>
      <c r="N363" s="9"/>
      <c r="O363" s="9"/>
      <c r="P363" s="9"/>
    </row>
    <row r="364" spans="1:16" s="29" customFormat="1" ht="25.5" x14ac:dyDescent="0.2">
      <c r="A364" s="31" t="s">
        <v>169</v>
      </c>
      <c r="B364" s="35">
        <v>911</v>
      </c>
      <c r="C364" s="27" t="s">
        <v>52</v>
      </c>
      <c r="D364" s="27" t="s">
        <v>18</v>
      </c>
      <c r="E364" s="27" t="s">
        <v>142</v>
      </c>
      <c r="F364" s="27" t="s">
        <v>66</v>
      </c>
      <c r="G364" s="28">
        <f>6151.5</f>
        <v>6151.5</v>
      </c>
      <c r="H364" s="28">
        <f>6151.5</f>
        <v>6151.5</v>
      </c>
      <c r="I364" s="28">
        <f>6151.5</f>
        <v>6151.5</v>
      </c>
      <c r="J364" s="3"/>
      <c r="K364" s="3"/>
      <c r="L364" s="3"/>
      <c r="M364" s="3"/>
      <c r="N364" s="3"/>
      <c r="O364" s="3"/>
      <c r="P364" s="3"/>
    </row>
    <row r="365" spans="1:16" ht="114.75" x14ac:dyDescent="0.2">
      <c r="A365" s="18" t="s">
        <v>357</v>
      </c>
      <c r="B365" s="22">
        <v>911</v>
      </c>
      <c r="C365" s="19" t="s">
        <v>52</v>
      </c>
      <c r="D365" s="19" t="s">
        <v>18</v>
      </c>
      <c r="E365" s="19" t="s">
        <v>143</v>
      </c>
      <c r="F365" s="19"/>
      <c r="G365" s="20">
        <f>G367+G366</f>
        <v>37881</v>
      </c>
      <c r="H365" s="20">
        <f>H367+H366</f>
        <v>37881</v>
      </c>
      <c r="I365" s="20">
        <f>I367+I366</f>
        <v>37881</v>
      </c>
      <c r="J365" s="9"/>
      <c r="K365" s="9"/>
      <c r="L365" s="9"/>
      <c r="M365" s="9"/>
      <c r="N365" s="9"/>
      <c r="O365" s="9"/>
      <c r="P365" s="9"/>
    </row>
    <row r="366" spans="1:16" s="29" customFormat="1" ht="25.5" x14ac:dyDescent="0.2">
      <c r="A366" s="31" t="s">
        <v>77</v>
      </c>
      <c r="B366" s="36">
        <v>911</v>
      </c>
      <c r="C366" s="27" t="s">
        <v>52</v>
      </c>
      <c r="D366" s="27" t="s">
        <v>18</v>
      </c>
      <c r="E366" s="27" t="s">
        <v>143</v>
      </c>
      <c r="F366" s="30" t="s">
        <v>69</v>
      </c>
      <c r="G366" s="28"/>
      <c r="H366" s="28"/>
      <c r="I366" s="28"/>
      <c r="J366" s="21"/>
      <c r="K366" s="21"/>
      <c r="L366" s="21"/>
      <c r="M366" s="21"/>
      <c r="N366" s="21"/>
      <c r="O366" s="21"/>
      <c r="P366" s="21"/>
    </row>
    <row r="367" spans="1:16" s="29" customFormat="1" x14ac:dyDescent="0.2">
      <c r="A367" s="31" t="s">
        <v>70</v>
      </c>
      <c r="B367" s="35">
        <v>911</v>
      </c>
      <c r="C367" s="27" t="s">
        <v>52</v>
      </c>
      <c r="D367" s="27" t="s">
        <v>18</v>
      </c>
      <c r="E367" s="27" t="s">
        <v>143</v>
      </c>
      <c r="F367" s="27" t="s">
        <v>71</v>
      </c>
      <c r="G367" s="28">
        <f>29732+8149</f>
        <v>37881</v>
      </c>
      <c r="H367" s="28">
        <f t="shared" ref="H367:I367" si="41">29732+8149</f>
        <v>37881</v>
      </c>
      <c r="I367" s="28">
        <f t="shared" si="41"/>
        <v>37881</v>
      </c>
      <c r="J367" s="21"/>
      <c r="K367" s="21"/>
      <c r="L367" s="21"/>
      <c r="M367" s="21"/>
      <c r="N367" s="21"/>
    </row>
    <row r="368" spans="1:16" s="9" customFormat="1" ht="25.5" x14ac:dyDescent="0.2">
      <c r="A368" s="48" t="s">
        <v>7</v>
      </c>
      <c r="B368" s="45">
        <v>913</v>
      </c>
      <c r="C368" s="49"/>
      <c r="D368" s="49"/>
      <c r="E368" s="49"/>
      <c r="F368" s="49"/>
      <c r="G368" s="47">
        <f>G369+G376+G401</f>
        <v>57148.7</v>
      </c>
      <c r="H368" s="47">
        <f>H369+H376+H401</f>
        <v>57148.7</v>
      </c>
      <c r="I368" s="47">
        <f>I369+I376+I401</f>
        <v>57148.7</v>
      </c>
      <c r="J368" s="29"/>
      <c r="K368" s="86"/>
      <c r="L368" s="86"/>
      <c r="M368" s="86"/>
      <c r="N368" s="29"/>
      <c r="O368" s="29"/>
      <c r="P368" s="29"/>
    </row>
    <row r="369" spans="1:16" s="3" customFormat="1" x14ac:dyDescent="0.2">
      <c r="A369" s="13" t="s">
        <v>37</v>
      </c>
      <c r="B369" s="50">
        <v>913</v>
      </c>
      <c r="C369" s="1" t="s">
        <v>19</v>
      </c>
      <c r="D369" s="1"/>
      <c r="E369" s="1"/>
      <c r="F369" s="1"/>
      <c r="G369" s="2">
        <f>G370</f>
        <v>14937.5</v>
      </c>
      <c r="H369" s="2">
        <f>H370</f>
        <v>14937.5</v>
      </c>
      <c r="I369" s="2">
        <f>I370</f>
        <v>14937.5</v>
      </c>
      <c r="J369" s="21"/>
      <c r="K369" s="21"/>
      <c r="L369" s="21"/>
      <c r="M369" s="21"/>
      <c r="N369" s="21"/>
      <c r="O369" s="29"/>
      <c r="P369" s="29"/>
    </row>
    <row r="370" spans="1:16" s="9" customFormat="1" x14ac:dyDescent="0.2">
      <c r="A370" s="11" t="s">
        <v>463</v>
      </c>
      <c r="B370" s="14">
        <v>913</v>
      </c>
      <c r="C370" s="8" t="s">
        <v>19</v>
      </c>
      <c r="D370" s="8" t="s">
        <v>16</v>
      </c>
      <c r="E370" s="8"/>
      <c r="F370" s="8"/>
      <c r="G370" s="4">
        <f>G371+G374</f>
        <v>14937.5</v>
      </c>
      <c r="H370" s="4">
        <f t="shared" ref="H370:I370" si="42">H371+H374</f>
        <v>14937.5</v>
      </c>
      <c r="I370" s="4">
        <f t="shared" si="42"/>
        <v>14937.5</v>
      </c>
      <c r="J370" s="21"/>
      <c r="K370" s="21"/>
      <c r="L370" s="21"/>
      <c r="M370" s="21"/>
      <c r="N370" s="21"/>
      <c r="O370" s="21"/>
      <c r="P370" s="21"/>
    </row>
    <row r="371" spans="1:16" ht="63.75" x14ac:dyDescent="0.2">
      <c r="A371" s="18" t="s">
        <v>325</v>
      </c>
      <c r="B371" s="22">
        <v>913</v>
      </c>
      <c r="C371" s="19" t="s">
        <v>19</v>
      </c>
      <c r="D371" s="19" t="s">
        <v>16</v>
      </c>
      <c r="E371" s="19" t="s">
        <v>324</v>
      </c>
      <c r="F371" s="19"/>
      <c r="G371" s="20">
        <f>G373+G372</f>
        <v>14828.8</v>
      </c>
      <c r="H371" s="20">
        <f>H373+H372</f>
        <v>14828.8</v>
      </c>
      <c r="I371" s="20">
        <f>I373+I372</f>
        <v>14828.8</v>
      </c>
    </row>
    <row r="372" spans="1:16" s="29" customFormat="1" x14ac:dyDescent="0.2">
      <c r="A372" s="31" t="s">
        <v>70</v>
      </c>
      <c r="B372" s="35">
        <v>913</v>
      </c>
      <c r="C372" s="27" t="s">
        <v>19</v>
      </c>
      <c r="D372" s="27" t="s">
        <v>16</v>
      </c>
      <c r="E372" s="27" t="s">
        <v>324</v>
      </c>
      <c r="F372" s="30" t="s">
        <v>71</v>
      </c>
      <c r="G372" s="28">
        <f>30</f>
        <v>30</v>
      </c>
      <c r="H372" s="28">
        <f>30</f>
        <v>30</v>
      </c>
      <c r="I372" s="28">
        <f>30</f>
        <v>30</v>
      </c>
      <c r="J372" s="12"/>
      <c r="K372" s="12"/>
      <c r="L372" s="12"/>
      <c r="M372" s="12"/>
      <c r="N372" s="12"/>
      <c r="O372" s="12"/>
      <c r="P372" s="12"/>
    </row>
    <row r="373" spans="1:16" s="29" customFormat="1" ht="25.5" x14ac:dyDescent="0.2">
      <c r="A373" s="31" t="s">
        <v>169</v>
      </c>
      <c r="B373" s="31">
        <v>913</v>
      </c>
      <c r="C373" s="27" t="s">
        <v>19</v>
      </c>
      <c r="D373" s="27" t="s">
        <v>16</v>
      </c>
      <c r="E373" s="27" t="s">
        <v>324</v>
      </c>
      <c r="F373" s="27" t="s">
        <v>66</v>
      </c>
      <c r="G373" s="28">
        <f>14798.8</f>
        <v>14798.8</v>
      </c>
      <c r="H373" s="28">
        <f t="shared" ref="H373:I373" si="43">14798.8</f>
        <v>14798.8</v>
      </c>
      <c r="I373" s="28">
        <f t="shared" si="43"/>
        <v>14798.8</v>
      </c>
    </row>
    <row r="374" spans="1:16" ht="25.5" x14ac:dyDescent="0.2">
      <c r="A374" s="18" t="s">
        <v>269</v>
      </c>
      <c r="B374" s="22">
        <v>913</v>
      </c>
      <c r="C374" s="19" t="s">
        <v>19</v>
      </c>
      <c r="D374" s="19" t="s">
        <v>16</v>
      </c>
      <c r="E374" s="19" t="s">
        <v>270</v>
      </c>
      <c r="F374" s="19"/>
      <c r="G374" s="20">
        <f>G375</f>
        <v>108.7</v>
      </c>
      <c r="H374" s="20">
        <f>H375</f>
        <v>108.7</v>
      </c>
      <c r="I374" s="20">
        <f>I375</f>
        <v>108.7</v>
      </c>
      <c r="J374" s="29"/>
      <c r="K374" s="29"/>
      <c r="L374" s="29"/>
      <c r="M374" s="29"/>
      <c r="N374" s="29"/>
      <c r="O374" s="29"/>
      <c r="P374" s="29"/>
    </row>
    <row r="375" spans="1:16" s="29" customFormat="1" ht="25.5" x14ac:dyDescent="0.2">
      <c r="A375" s="31" t="s">
        <v>169</v>
      </c>
      <c r="B375" s="35">
        <v>913</v>
      </c>
      <c r="C375" s="27" t="s">
        <v>19</v>
      </c>
      <c r="D375" s="27" t="s">
        <v>16</v>
      </c>
      <c r="E375" s="27" t="s">
        <v>270</v>
      </c>
      <c r="F375" s="27" t="s">
        <v>66</v>
      </c>
      <c r="G375" s="28">
        <f>108.7</f>
        <v>108.7</v>
      </c>
      <c r="H375" s="28">
        <f t="shared" ref="H375:I375" si="44">108.7</f>
        <v>108.7</v>
      </c>
      <c r="I375" s="28">
        <f t="shared" si="44"/>
        <v>108.7</v>
      </c>
      <c r="J375" s="21"/>
      <c r="K375" s="21"/>
      <c r="L375" s="21"/>
      <c r="M375" s="21"/>
      <c r="N375" s="21"/>
      <c r="O375" s="21"/>
      <c r="P375" s="21"/>
    </row>
    <row r="376" spans="1:16" s="3" customFormat="1" ht="25.5" x14ac:dyDescent="0.2">
      <c r="A376" s="13" t="s">
        <v>42</v>
      </c>
      <c r="B376" s="50">
        <v>913</v>
      </c>
      <c r="C376" s="1" t="s">
        <v>43</v>
      </c>
      <c r="D376" s="1"/>
      <c r="E376" s="1"/>
      <c r="F376" s="1"/>
      <c r="G376" s="2">
        <f>G377+G392</f>
        <v>42092.2</v>
      </c>
      <c r="H376" s="2">
        <f>H377+H392</f>
        <v>42092.2</v>
      </c>
      <c r="I376" s="2">
        <f>I377+I392</f>
        <v>42092.2</v>
      </c>
      <c r="J376" s="21"/>
      <c r="K376" s="21"/>
      <c r="L376" s="21"/>
      <c r="M376" s="21"/>
      <c r="N376" s="21"/>
      <c r="O376" s="21"/>
      <c r="P376" s="21"/>
    </row>
    <row r="377" spans="1:16" s="9" customFormat="1" x14ac:dyDescent="0.2">
      <c r="A377" s="11" t="s">
        <v>44</v>
      </c>
      <c r="B377" s="14">
        <v>913</v>
      </c>
      <c r="C377" s="8" t="s">
        <v>43</v>
      </c>
      <c r="D377" s="8" t="s">
        <v>12</v>
      </c>
      <c r="E377" s="8"/>
      <c r="F377" s="8"/>
      <c r="G377" s="4">
        <f>G378+G384+G387+G389+G380+G382</f>
        <v>39345.5</v>
      </c>
      <c r="H377" s="4">
        <f>H378+H384+H387+H389+H380+H382</f>
        <v>39345.5</v>
      </c>
      <c r="I377" s="4">
        <f>I378+I384+I387+I389+I380+I382</f>
        <v>39345.5</v>
      </c>
      <c r="J377" s="21"/>
      <c r="K377" s="21"/>
      <c r="L377" s="21"/>
      <c r="M377" s="21"/>
      <c r="N377" s="21"/>
      <c r="O377" s="21"/>
      <c r="P377" s="21"/>
    </row>
    <row r="378" spans="1:16" ht="25.5" x14ac:dyDescent="0.2">
      <c r="A378" s="18" t="s">
        <v>269</v>
      </c>
      <c r="B378" s="22">
        <v>913</v>
      </c>
      <c r="C378" s="19" t="s">
        <v>43</v>
      </c>
      <c r="D378" s="19" t="s">
        <v>12</v>
      </c>
      <c r="E378" s="19" t="s">
        <v>270</v>
      </c>
      <c r="F378" s="19"/>
      <c r="G378" s="20">
        <f>G379</f>
        <v>0</v>
      </c>
      <c r="H378" s="20">
        <f>H379</f>
        <v>0</v>
      </c>
      <c r="I378" s="20">
        <f>I379</f>
        <v>0</v>
      </c>
    </row>
    <row r="379" spans="1:16" s="29" customFormat="1" ht="25.5" x14ac:dyDescent="0.2">
      <c r="A379" s="31" t="s">
        <v>169</v>
      </c>
      <c r="B379" s="35">
        <v>913</v>
      </c>
      <c r="C379" s="27" t="s">
        <v>43</v>
      </c>
      <c r="D379" s="27" t="s">
        <v>12</v>
      </c>
      <c r="E379" s="27" t="s">
        <v>270</v>
      </c>
      <c r="F379" s="27" t="s">
        <v>66</v>
      </c>
      <c r="G379" s="28"/>
      <c r="H379" s="28"/>
      <c r="I379" s="28"/>
      <c r="J379" s="21"/>
      <c r="K379" s="21"/>
      <c r="L379" s="21"/>
      <c r="M379" s="21"/>
      <c r="N379" s="21"/>
      <c r="O379" s="21"/>
      <c r="P379" s="21"/>
    </row>
    <row r="380" spans="1:16" ht="38.25" x14ac:dyDescent="0.2">
      <c r="A380" s="18" t="s">
        <v>358</v>
      </c>
      <c r="B380" s="18">
        <v>913</v>
      </c>
      <c r="C380" s="19" t="s">
        <v>43</v>
      </c>
      <c r="D380" s="19" t="s">
        <v>12</v>
      </c>
      <c r="E380" s="19" t="s">
        <v>89</v>
      </c>
      <c r="F380" s="19"/>
      <c r="G380" s="20">
        <f>G381</f>
        <v>0</v>
      </c>
      <c r="H380" s="20">
        <f>H381</f>
        <v>0</v>
      </c>
      <c r="I380" s="20">
        <f>I381</f>
        <v>0</v>
      </c>
    </row>
    <row r="381" spans="1:16" ht="25.5" x14ac:dyDescent="0.2">
      <c r="A381" s="31" t="s">
        <v>169</v>
      </c>
      <c r="B381" s="31">
        <v>913</v>
      </c>
      <c r="C381" s="27" t="s">
        <v>43</v>
      </c>
      <c r="D381" s="27" t="s">
        <v>12</v>
      </c>
      <c r="E381" s="27" t="s">
        <v>89</v>
      </c>
      <c r="F381" s="27" t="s">
        <v>66</v>
      </c>
      <c r="G381" s="28"/>
      <c r="H381" s="28"/>
      <c r="I381" s="28"/>
    </row>
    <row r="382" spans="1:16" s="77" customFormat="1" ht="38.25" x14ac:dyDescent="0.2">
      <c r="A382" s="18" t="s">
        <v>359</v>
      </c>
      <c r="B382" s="18">
        <v>913</v>
      </c>
      <c r="C382" s="19" t="s">
        <v>43</v>
      </c>
      <c r="D382" s="19" t="s">
        <v>12</v>
      </c>
      <c r="E382" s="19" t="s">
        <v>153</v>
      </c>
      <c r="F382" s="19"/>
      <c r="G382" s="20">
        <f>G383</f>
        <v>0</v>
      </c>
      <c r="H382" s="20">
        <f>H383</f>
        <v>0</v>
      </c>
      <c r="I382" s="20">
        <f>I383</f>
        <v>0</v>
      </c>
    </row>
    <row r="383" spans="1:16" s="77" customFormat="1" ht="25.5" x14ac:dyDescent="0.2">
      <c r="A383" s="31" t="s">
        <v>169</v>
      </c>
      <c r="B383" s="31">
        <v>913</v>
      </c>
      <c r="C383" s="27" t="s">
        <v>43</v>
      </c>
      <c r="D383" s="27" t="s">
        <v>12</v>
      </c>
      <c r="E383" s="27" t="s">
        <v>153</v>
      </c>
      <c r="F383" s="27" t="s">
        <v>66</v>
      </c>
      <c r="G383" s="28"/>
      <c r="H383" s="28"/>
      <c r="I383" s="28"/>
    </row>
    <row r="384" spans="1:16" x14ac:dyDescent="0.2">
      <c r="A384" s="18" t="s">
        <v>361</v>
      </c>
      <c r="B384" s="22">
        <v>913</v>
      </c>
      <c r="C384" s="19" t="s">
        <v>43</v>
      </c>
      <c r="D384" s="19" t="s">
        <v>12</v>
      </c>
      <c r="E384" s="19" t="s">
        <v>360</v>
      </c>
      <c r="F384" s="19"/>
      <c r="G384" s="20">
        <f>G386+G385</f>
        <v>27815.9</v>
      </c>
      <c r="H384" s="20">
        <f>H386+H385</f>
        <v>27815.9</v>
      </c>
      <c r="I384" s="20">
        <f>I386+I385</f>
        <v>27815.9</v>
      </c>
    </row>
    <row r="385" spans="1:16" s="29" customFormat="1" x14ac:dyDescent="0.2">
      <c r="A385" s="31" t="s">
        <v>70</v>
      </c>
      <c r="B385" s="31">
        <v>913</v>
      </c>
      <c r="C385" s="27" t="s">
        <v>43</v>
      </c>
      <c r="D385" s="27" t="s">
        <v>12</v>
      </c>
      <c r="E385" s="27" t="s">
        <v>360</v>
      </c>
      <c r="F385" s="30" t="s">
        <v>71</v>
      </c>
      <c r="G385" s="28">
        <f>15</f>
        <v>15</v>
      </c>
      <c r="H385" s="28">
        <f>15</f>
        <v>15</v>
      </c>
      <c r="I385" s="28">
        <f>15</f>
        <v>15</v>
      </c>
    </row>
    <row r="386" spans="1:16" s="29" customFormat="1" ht="25.5" x14ac:dyDescent="0.2">
      <c r="A386" s="31" t="s">
        <v>169</v>
      </c>
      <c r="B386" s="35">
        <v>913</v>
      </c>
      <c r="C386" s="27" t="s">
        <v>43</v>
      </c>
      <c r="D386" s="27" t="s">
        <v>12</v>
      </c>
      <c r="E386" s="27" t="s">
        <v>360</v>
      </c>
      <c r="F386" s="27" t="s">
        <v>66</v>
      </c>
      <c r="G386" s="28">
        <f>27800.9</f>
        <v>27800.9</v>
      </c>
      <c r="H386" s="28">
        <f t="shared" ref="H386:I386" si="45">27800.9</f>
        <v>27800.9</v>
      </c>
      <c r="I386" s="28">
        <f t="shared" si="45"/>
        <v>27800.9</v>
      </c>
      <c r="J386" s="21"/>
      <c r="K386" s="21"/>
      <c r="L386" s="21"/>
      <c r="M386" s="21"/>
      <c r="N386" s="21"/>
    </row>
    <row r="387" spans="1:16" x14ac:dyDescent="0.2">
      <c r="A387" s="18" t="s">
        <v>363</v>
      </c>
      <c r="B387" s="22">
        <v>913</v>
      </c>
      <c r="C387" s="19" t="s">
        <v>43</v>
      </c>
      <c r="D387" s="19" t="s">
        <v>12</v>
      </c>
      <c r="E387" s="19" t="s">
        <v>362</v>
      </c>
      <c r="F387" s="19"/>
      <c r="G387" s="20">
        <f>G388</f>
        <v>2172.8000000000002</v>
      </c>
      <c r="H387" s="20">
        <f>H388</f>
        <v>2172.8000000000002</v>
      </c>
      <c r="I387" s="20">
        <f>I388</f>
        <v>2172.8000000000002</v>
      </c>
      <c r="J387" s="9"/>
      <c r="K387" s="9"/>
      <c r="L387" s="9"/>
      <c r="M387" s="9"/>
      <c r="N387" s="9"/>
      <c r="O387" s="9"/>
      <c r="P387" s="9"/>
    </row>
    <row r="388" spans="1:16" s="29" customFormat="1" ht="25.5" x14ac:dyDescent="0.2">
      <c r="A388" s="31" t="s">
        <v>169</v>
      </c>
      <c r="B388" s="35">
        <v>913</v>
      </c>
      <c r="C388" s="27" t="s">
        <v>43</v>
      </c>
      <c r="D388" s="27" t="s">
        <v>12</v>
      </c>
      <c r="E388" s="27" t="s">
        <v>362</v>
      </c>
      <c r="F388" s="27" t="s">
        <v>66</v>
      </c>
      <c r="G388" s="28">
        <v>2172.8000000000002</v>
      </c>
      <c r="H388" s="28">
        <v>2172.8000000000002</v>
      </c>
      <c r="I388" s="28">
        <v>2172.8000000000002</v>
      </c>
      <c r="J388" s="21"/>
      <c r="K388" s="21"/>
      <c r="L388" s="21"/>
      <c r="M388" s="21"/>
      <c r="N388" s="21"/>
      <c r="O388" s="21"/>
      <c r="P388" s="21"/>
    </row>
    <row r="389" spans="1:16" x14ac:dyDescent="0.2">
      <c r="A389" s="18" t="s">
        <v>365</v>
      </c>
      <c r="B389" s="22">
        <v>913</v>
      </c>
      <c r="C389" s="19" t="s">
        <v>43</v>
      </c>
      <c r="D389" s="19" t="s">
        <v>12</v>
      </c>
      <c r="E389" s="19" t="s">
        <v>364</v>
      </c>
      <c r="F389" s="19"/>
      <c r="G389" s="20">
        <f>G391+G390</f>
        <v>9356.7999999999993</v>
      </c>
      <c r="H389" s="20">
        <f>H391+H390</f>
        <v>9356.7999999999993</v>
      </c>
      <c r="I389" s="20">
        <f>I391+I390</f>
        <v>9356.7999999999993</v>
      </c>
      <c r="O389" s="29"/>
      <c r="P389" s="29"/>
    </row>
    <row r="390" spans="1:16" s="29" customFormat="1" x14ac:dyDescent="0.2">
      <c r="A390" s="31" t="s">
        <v>70</v>
      </c>
      <c r="B390" s="31">
        <v>913</v>
      </c>
      <c r="C390" s="27" t="s">
        <v>43</v>
      </c>
      <c r="D390" s="27" t="s">
        <v>12</v>
      </c>
      <c r="E390" s="27" t="s">
        <v>364</v>
      </c>
      <c r="F390" s="30" t="s">
        <v>71</v>
      </c>
      <c r="G390" s="28">
        <f>15</f>
        <v>15</v>
      </c>
      <c r="H390" s="28">
        <f>15</f>
        <v>15</v>
      </c>
      <c r="I390" s="28">
        <f>15</f>
        <v>15</v>
      </c>
      <c r="J390" s="21"/>
      <c r="K390" s="21"/>
      <c r="L390" s="21"/>
      <c r="M390" s="21"/>
      <c r="N390" s="21"/>
    </row>
    <row r="391" spans="1:16" s="29" customFormat="1" ht="25.5" x14ac:dyDescent="0.2">
      <c r="A391" s="31" t="s">
        <v>169</v>
      </c>
      <c r="B391" s="35">
        <v>913</v>
      </c>
      <c r="C391" s="27" t="s">
        <v>43</v>
      </c>
      <c r="D391" s="27" t="s">
        <v>12</v>
      </c>
      <c r="E391" s="27" t="s">
        <v>364</v>
      </c>
      <c r="F391" s="27" t="s">
        <v>66</v>
      </c>
      <c r="G391" s="28">
        <f>9341.8</f>
        <v>9341.7999999999993</v>
      </c>
      <c r="H391" s="28">
        <f t="shared" ref="H391:I391" si="46">9341.8</f>
        <v>9341.7999999999993</v>
      </c>
      <c r="I391" s="28">
        <f t="shared" si="46"/>
        <v>9341.7999999999993</v>
      </c>
      <c r="J391" s="21"/>
      <c r="K391" s="21"/>
      <c r="L391" s="21"/>
      <c r="M391" s="21"/>
      <c r="N391" s="21"/>
    </row>
    <row r="392" spans="1:16" s="9" customFormat="1" ht="25.5" x14ac:dyDescent="0.2">
      <c r="A392" s="11" t="s">
        <v>25</v>
      </c>
      <c r="B392" s="14">
        <v>913</v>
      </c>
      <c r="C392" s="8" t="s">
        <v>43</v>
      </c>
      <c r="D392" s="8" t="s">
        <v>18</v>
      </c>
      <c r="E392" s="8"/>
      <c r="F392" s="8"/>
      <c r="G392" s="4">
        <f>G393+G397</f>
        <v>2746.7000000000003</v>
      </c>
      <c r="H392" s="4">
        <f>H393+H397</f>
        <v>2746.7000000000003</v>
      </c>
      <c r="I392" s="4">
        <f>I393+I397</f>
        <v>2746.7000000000003</v>
      </c>
      <c r="J392" s="21"/>
      <c r="K392" s="21"/>
      <c r="L392" s="21"/>
      <c r="M392" s="21"/>
      <c r="N392" s="21"/>
      <c r="O392" s="21"/>
      <c r="P392" s="21"/>
    </row>
    <row r="393" spans="1:16" x14ac:dyDescent="0.2">
      <c r="A393" s="18" t="s">
        <v>367</v>
      </c>
      <c r="B393" s="22">
        <v>913</v>
      </c>
      <c r="C393" s="19" t="s">
        <v>43</v>
      </c>
      <c r="D393" s="19" t="s">
        <v>18</v>
      </c>
      <c r="E393" s="19" t="s">
        <v>366</v>
      </c>
      <c r="F393" s="19"/>
      <c r="G393" s="20">
        <f>G394+G395+G396</f>
        <v>719.1</v>
      </c>
      <c r="H393" s="20">
        <f>H394+H395+H396</f>
        <v>719.1</v>
      </c>
      <c r="I393" s="20">
        <f>I394+I395+I396</f>
        <v>719.1</v>
      </c>
      <c r="O393" s="29"/>
      <c r="P393" s="29"/>
    </row>
    <row r="394" spans="1:16" s="29" customFormat="1" ht="63.75" x14ac:dyDescent="0.2">
      <c r="A394" s="26" t="s">
        <v>67</v>
      </c>
      <c r="B394" s="35">
        <v>913</v>
      </c>
      <c r="C394" s="27" t="s">
        <v>43</v>
      </c>
      <c r="D394" s="27" t="s">
        <v>18</v>
      </c>
      <c r="E394" s="27" t="s">
        <v>366</v>
      </c>
      <c r="F394" s="30" t="s">
        <v>68</v>
      </c>
      <c r="G394" s="28">
        <v>624.5</v>
      </c>
      <c r="H394" s="28">
        <v>624.5</v>
      </c>
      <c r="I394" s="28">
        <v>624.5</v>
      </c>
      <c r="J394" s="21"/>
      <c r="K394" s="21"/>
      <c r="L394" s="21"/>
      <c r="M394" s="21"/>
      <c r="N394" s="21"/>
    </row>
    <row r="395" spans="1:16" s="29" customFormat="1" ht="25.5" x14ac:dyDescent="0.2">
      <c r="A395" s="31" t="s">
        <v>77</v>
      </c>
      <c r="B395" s="35">
        <v>913</v>
      </c>
      <c r="C395" s="27" t="s">
        <v>43</v>
      </c>
      <c r="D395" s="27" t="s">
        <v>18</v>
      </c>
      <c r="E395" s="27" t="s">
        <v>366</v>
      </c>
      <c r="F395" s="30" t="s">
        <v>69</v>
      </c>
      <c r="G395" s="28">
        <v>85.9</v>
      </c>
      <c r="H395" s="28">
        <v>85.9</v>
      </c>
      <c r="I395" s="28">
        <v>85.9</v>
      </c>
      <c r="J395" s="3"/>
      <c r="K395" s="3"/>
      <c r="L395" s="3"/>
      <c r="M395" s="3"/>
      <c r="N395" s="3"/>
      <c r="O395" s="3"/>
      <c r="P395" s="3"/>
    </row>
    <row r="396" spans="1:16" s="29" customFormat="1" x14ac:dyDescent="0.2">
      <c r="A396" s="31" t="s">
        <v>73</v>
      </c>
      <c r="B396" s="35">
        <v>913</v>
      </c>
      <c r="C396" s="27" t="s">
        <v>43</v>
      </c>
      <c r="D396" s="27" t="s">
        <v>18</v>
      </c>
      <c r="E396" s="27" t="s">
        <v>366</v>
      </c>
      <c r="F396" s="27" t="s">
        <v>74</v>
      </c>
      <c r="G396" s="28">
        <v>8.6999999999999993</v>
      </c>
      <c r="H396" s="28">
        <v>8.6999999999999993</v>
      </c>
      <c r="I396" s="28">
        <v>8.6999999999999993</v>
      </c>
      <c r="J396" s="9"/>
      <c r="K396" s="9"/>
      <c r="L396" s="9"/>
      <c r="M396" s="9"/>
      <c r="N396" s="9"/>
      <c r="O396" s="9"/>
      <c r="P396" s="9"/>
    </row>
    <row r="397" spans="1:16" x14ac:dyDescent="0.2">
      <c r="A397" s="18" t="s">
        <v>368</v>
      </c>
      <c r="B397" s="22">
        <v>913</v>
      </c>
      <c r="C397" s="19" t="s">
        <v>43</v>
      </c>
      <c r="D397" s="19" t="s">
        <v>18</v>
      </c>
      <c r="E397" s="19" t="s">
        <v>369</v>
      </c>
      <c r="F397" s="19"/>
      <c r="G397" s="20">
        <f>G398+G399+G400</f>
        <v>2027.6000000000001</v>
      </c>
      <c r="H397" s="20">
        <f t="shared" ref="H397:I397" si="47">H398+H399+H400</f>
        <v>2027.6000000000001</v>
      </c>
      <c r="I397" s="20">
        <f t="shared" si="47"/>
        <v>2027.6000000000001</v>
      </c>
    </row>
    <row r="398" spans="1:16" s="29" customFormat="1" ht="63.75" x14ac:dyDescent="0.2">
      <c r="A398" s="26" t="s">
        <v>67</v>
      </c>
      <c r="B398" s="35">
        <v>913</v>
      </c>
      <c r="C398" s="27" t="s">
        <v>43</v>
      </c>
      <c r="D398" s="27" t="s">
        <v>18</v>
      </c>
      <c r="E398" s="27" t="s">
        <v>369</v>
      </c>
      <c r="F398" s="30" t="s">
        <v>68</v>
      </c>
      <c r="G398" s="28">
        <v>1773.9</v>
      </c>
      <c r="H398" s="28">
        <v>1773.9</v>
      </c>
      <c r="I398" s="28">
        <v>1773.9</v>
      </c>
      <c r="J398" s="21"/>
      <c r="K398" s="21"/>
      <c r="L398" s="21"/>
      <c r="M398" s="21"/>
      <c r="N398" s="21"/>
    </row>
    <row r="399" spans="1:16" s="29" customFormat="1" ht="25.5" x14ac:dyDescent="0.2">
      <c r="A399" s="31" t="s">
        <v>77</v>
      </c>
      <c r="B399" s="35">
        <v>913</v>
      </c>
      <c r="C399" s="27" t="s">
        <v>43</v>
      </c>
      <c r="D399" s="27" t="s">
        <v>18</v>
      </c>
      <c r="E399" s="27" t="s">
        <v>369</v>
      </c>
      <c r="F399" s="30" t="s">
        <v>69</v>
      </c>
      <c r="G399" s="28">
        <v>253.4</v>
      </c>
      <c r="H399" s="28">
        <v>253.4</v>
      </c>
      <c r="I399" s="28">
        <v>253.4</v>
      </c>
      <c r="J399" s="9"/>
      <c r="K399" s="9"/>
      <c r="L399" s="9"/>
      <c r="M399" s="9"/>
      <c r="N399" s="9"/>
      <c r="O399" s="9"/>
      <c r="P399" s="9"/>
    </row>
    <row r="400" spans="1:16" s="29" customFormat="1" x14ac:dyDescent="0.2">
      <c r="A400" s="31" t="s">
        <v>73</v>
      </c>
      <c r="B400" s="35">
        <v>913</v>
      </c>
      <c r="C400" s="27" t="s">
        <v>43</v>
      </c>
      <c r="D400" s="27" t="s">
        <v>18</v>
      </c>
      <c r="E400" s="27" t="s">
        <v>369</v>
      </c>
      <c r="F400" s="30" t="s">
        <v>74</v>
      </c>
      <c r="G400" s="28">
        <v>0.3</v>
      </c>
      <c r="H400" s="28">
        <v>0.3</v>
      </c>
      <c r="I400" s="28">
        <v>0.3</v>
      </c>
      <c r="J400" s="9"/>
      <c r="K400" s="9"/>
      <c r="L400" s="9"/>
      <c r="M400" s="9"/>
      <c r="N400" s="9"/>
      <c r="O400" s="9"/>
      <c r="P400" s="9"/>
    </row>
    <row r="401" spans="1:16" s="3" customFormat="1" x14ac:dyDescent="0.2">
      <c r="A401" s="13" t="s">
        <v>53</v>
      </c>
      <c r="B401" s="50">
        <v>913</v>
      </c>
      <c r="C401" s="1" t="s">
        <v>52</v>
      </c>
      <c r="D401" s="1"/>
      <c r="E401" s="1"/>
      <c r="F401" s="1"/>
      <c r="G401" s="2">
        <f>G402</f>
        <v>119</v>
      </c>
      <c r="H401" s="2">
        <f>H402</f>
        <v>119</v>
      </c>
      <c r="I401" s="2">
        <f>I402</f>
        <v>119</v>
      </c>
    </row>
    <row r="402" spans="1:16" s="9" customFormat="1" x14ac:dyDescent="0.2">
      <c r="A402" s="11" t="s">
        <v>56</v>
      </c>
      <c r="B402" s="14">
        <v>913</v>
      </c>
      <c r="C402" s="8" t="s">
        <v>52</v>
      </c>
      <c r="D402" s="8" t="s">
        <v>16</v>
      </c>
      <c r="E402" s="8"/>
      <c r="F402" s="8"/>
      <c r="G402" s="4">
        <f>SUM(G403)</f>
        <v>119</v>
      </c>
      <c r="H402" s="4">
        <f>SUM(H403)</f>
        <v>119</v>
      </c>
      <c r="I402" s="4">
        <f>SUM(I403)</f>
        <v>119</v>
      </c>
      <c r="J402" s="21"/>
      <c r="K402" s="21"/>
      <c r="L402" s="21"/>
      <c r="M402" s="21"/>
      <c r="N402" s="21"/>
      <c r="O402" s="21"/>
      <c r="P402" s="21"/>
    </row>
    <row r="403" spans="1:16" ht="38.25" x14ac:dyDescent="0.2">
      <c r="A403" s="18" t="s">
        <v>348</v>
      </c>
      <c r="B403" s="22">
        <v>913</v>
      </c>
      <c r="C403" s="19">
        <v>10</v>
      </c>
      <c r="D403" s="19" t="s">
        <v>16</v>
      </c>
      <c r="E403" s="19" t="s">
        <v>88</v>
      </c>
      <c r="F403" s="19"/>
      <c r="G403" s="20">
        <f>G404</f>
        <v>119</v>
      </c>
      <c r="H403" s="20">
        <f>H404</f>
        <v>119</v>
      </c>
      <c r="I403" s="20">
        <f>I404</f>
        <v>119</v>
      </c>
    </row>
    <row r="404" spans="1:16" s="29" customFormat="1" x14ac:dyDescent="0.2">
      <c r="A404" s="29" t="s">
        <v>70</v>
      </c>
      <c r="B404" s="35">
        <v>913</v>
      </c>
      <c r="C404" s="27">
        <v>10</v>
      </c>
      <c r="D404" s="27" t="s">
        <v>16</v>
      </c>
      <c r="E404" s="27" t="s">
        <v>88</v>
      </c>
      <c r="F404" s="27" t="s">
        <v>71</v>
      </c>
      <c r="G404" s="28">
        <v>119</v>
      </c>
      <c r="H404" s="28">
        <v>119</v>
      </c>
      <c r="I404" s="28">
        <v>119</v>
      </c>
      <c r="J404" s="21"/>
      <c r="K404" s="21"/>
      <c r="L404" s="21"/>
      <c r="M404" s="21"/>
      <c r="N404" s="21"/>
      <c r="O404" s="21"/>
      <c r="P404" s="21"/>
    </row>
    <row r="405" spans="1:16" s="9" customFormat="1" ht="29.25" customHeight="1" x14ac:dyDescent="0.2">
      <c r="A405" s="48" t="s">
        <v>50</v>
      </c>
      <c r="B405" s="45">
        <v>915</v>
      </c>
      <c r="C405" s="49"/>
      <c r="D405" s="49"/>
      <c r="E405" s="49"/>
      <c r="F405" s="49"/>
      <c r="G405" s="47">
        <f>G410+G406</f>
        <v>579459.70000000007</v>
      </c>
      <c r="H405" s="47">
        <f t="shared" ref="H405:I405" si="48">H410+H406</f>
        <v>579443.10000000009</v>
      </c>
      <c r="I405" s="47">
        <f t="shared" si="48"/>
        <v>574834.9</v>
      </c>
      <c r="J405" s="86"/>
      <c r="K405" s="86"/>
      <c r="L405" s="86"/>
      <c r="M405" s="3"/>
      <c r="N405" s="3"/>
      <c r="O405" s="3"/>
      <c r="P405" s="3"/>
    </row>
    <row r="406" spans="1:16" s="3" customFormat="1" x14ac:dyDescent="0.2">
      <c r="A406" s="13" t="s">
        <v>37</v>
      </c>
      <c r="B406" s="50">
        <v>915</v>
      </c>
      <c r="C406" s="1" t="s">
        <v>19</v>
      </c>
      <c r="D406" s="1"/>
      <c r="E406" s="1"/>
      <c r="F406" s="1"/>
      <c r="G406" s="2">
        <f>G407</f>
        <v>0</v>
      </c>
      <c r="H406" s="2">
        <f t="shared" ref="H406:I407" si="49">H407</f>
        <v>0</v>
      </c>
      <c r="I406" s="2">
        <f t="shared" si="49"/>
        <v>0</v>
      </c>
      <c r="J406" s="21"/>
      <c r="K406" s="21"/>
      <c r="L406" s="21"/>
      <c r="M406" s="21"/>
      <c r="N406" s="21"/>
      <c r="O406" s="21"/>
      <c r="P406" s="21"/>
    </row>
    <row r="407" spans="1:16" x14ac:dyDescent="0.2">
      <c r="A407" s="11" t="s">
        <v>40</v>
      </c>
      <c r="B407" s="11">
        <v>915</v>
      </c>
      <c r="C407" s="8" t="s">
        <v>19</v>
      </c>
      <c r="D407" s="8" t="s">
        <v>19</v>
      </c>
      <c r="E407" s="8"/>
      <c r="F407" s="8"/>
      <c r="G407" s="4">
        <f>G408</f>
        <v>0</v>
      </c>
      <c r="H407" s="4">
        <f t="shared" si="49"/>
        <v>0</v>
      </c>
      <c r="I407" s="4">
        <f t="shared" si="49"/>
        <v>0</v>
      </c>
    </row>
    <row r="408" spans="1:16" s="77" customFormat="1" ht="25.5" x14ac:dyDescent="0.2">
      <c r="A408" s="18" t="s">
        <v>370</v>
      </c>
      <c r="B408" s="18">
        <v>915</v>
      </c>
      <c r="C408" s="19" t="s">
        <v>19</v>
      </c>
      <c r="D408" s="19" t="s">
        <v>19</v>
      </c>
      <c r="E408" s="19" t="s">
        <v>157</v>
      </c>
      <c r="F408" s="19"/>
      <c r="G408" s="20">
        <f>G409</f>
        <v>0</v>
      </c>
      <c r="H408" s="20">
        <f>H409</f>
        <v>0</v>
      </c>
      <c r="I408" s="20">
        <f>I409</f>
        <v>0</v>
      </c>
    </row>
    <row r="409" spans="1:16" s="77" customFormat="1" ht="63.75" x14ac:dyDescent="0.2">
      <c r="A409" s="26" t="s">
        <v>67</v>
      </c>
      <c r="B409" s="26">
        <v>915</v>
      </c>
      <c r="C409" s="27" t="s">
        <v>19</v>
      </c>
      <c r="D409" s="27" t="s">
        <v>19</v>
      </c>
      <c r="E409" s="27" t="s">
        <v>157</v>
      </c>
      <c r="F409" s="30" t="s">
        <v>68</v>
      </c>
      <c r="G409" s="28"/>
      <c r="H409" s="28"/>
      <c r="I409" s="28"/>
    </row>
    <row r="410" spans="1:16" s="3" customFormat="1" x14ac:dyDescent="0.2">
      <c r="A410" s="13" t="s">
        <v>53</v>
      </c>
      <c r="B410" s="50">
        <v>915</v>
      </c>
      <c r="C410" s="1" t="s">
        <v>52</v>
      </c>
      <c r="D410" s="1"/>
      <c r="E410" s="1"/>
      <c r="F410" s="1"/>
      <c r="G410" s="2">
        <f>G411+G415+G425+G490+G502</f>
        <v>579459.70000000007</v>
      </c>
      <c r="H410" s="2">
        <f>H411+H415+H425+H490+H502</f>
        <v>579443.10000000009</v>
      </c>
      <c r="I410" s="2">
        <f>I411+I415+I425+I490+I502</f>
        <v>574834.9</v>
      </c>
      <c r="J410" s="21"/>
      <c r="K410" s="21"/>
      <c r="L410" s="21"/>
      <c r="M410" s="21"/>
      <c r="N410" s="21"/>
      <c r="O410" s="21"/>
      <c r="P410" s="21"/>
    </row>
    <row r="411" spans="1:16" s="9" customFormat="1" x14ac:dyDescent="0.2">
      <c r="A411" s="11" t="s">
        <v>54</v>
      </c>
      <c r="B411" s="14">
        <v>915</v>
      </c>
      <c r="C411" s="8" t="s">
        <v>52</v>
      </c>
      <c r="D411" s="8" t="s">
        <v>12</v>
      </c>
      <c r="E411" s="8"/>
      <c r="F411" s="8"/>
      <c r="G411" s="4">
        <f>G412</f>
        <v>5694.1</v>
      </c>
      <c r="H411" s="4">
        <f>H412</f>
        <v>5694.1</v>
      </c>
      <c r="I411" s="4">
        <f>I412</f>
        <v>5694.1</v>
      </c>
      <c r="J411" s="21"/>
      <c r="K411" s="21"/>
      <c r="L411" s="21"/>
      <c r="M411" s="21"/>
      <c r="N411" s="21"/>
      <c r="O411" s="29"/>
      <c r="P411" s="29"/>
    </row>
    <row r="412" spans="1:16" ht="89.25" x14ac:dyDescent="0.2">
      <c r="A412" s="18" t="s">
        <v>371</v>
      </c>
      <c r="B412" s="22">
        <v>915</v>
      </c>
      <c r="C412" s="19" t="s">
        <v>52</v>
      </c>
      <c r="D412" s="19" t="s">
        <v>12</v>
      </c>
      <c r="E412" s="19" t="s">
        <v>372</v>
      </c>
      <c r="F412" s="19"/>
      <c r="G412" s="20">
        <f>G414+G413</f>
        <v>5694.1</v>
      </c>
      <c r="H412" s="20">
        <f>H414+H413</f>
        <v>5694.1</v>
      </c>
      <c r="I412" s="20">
        <f>I414+I413</f>
        <v>5694.1</v>
      </c>
    </row>
    <row r="413" spans="1:16" ht="25.5" x14ac:dyDescent="0.2">
      <c r="A413" s="31" t="s">
        <v>77</v>
      </c>
      <c r="B413" s="26">
        <v>915</v>
      </c>
      <c r="C413" s="27" t="s">
        <v>52</v>
      </c>
      <c r="D413" s="27" t="s">
        <v>12</v>
      </c>
      <c r="E413" s="27" t="s">
        <v>372</v>
      </c>
      <c r="F413" s="30" t="s">
        <v>69</v>
      </c>
      <c r="G413" s="28">
        <v>28.3</v>
      </c>
      <c r="H413" s="28">
        <v>28.3</v>
      </c>
      <c r="I413" s="28">
        <v>28.3</v>
      </c>
    </row>
    <row r="414" spans="1:16" s="29" customFormat="1" x14ac:dyDescent="0.2">
      <c r="A414" s="31" t="s">
        <v>70</v>
      </c>
      <c r="B414" s="35">
        <v>915</v>
      </c>
      <c r="C414" s="27" t="s">
        <v>52</v>
      </c>
      <c r="D414" s="27" t="s">
        <v>12</v>
      </c>
      <c r="E414" s="27" t="s">
        <v>372</v>
      </c>
      <c r="F414" s="27" t="s">
        <v>71</v>
      </c>
      <c r="G414" s="28">
        <v>5665.8</v>
      </c>
      <c r="H414" s="28">
        <v>5665.8</v>
      </c>
      <c r="I414" s="28">
        <v>5665.8</v>
      </c>
      <c r="J414" s="21"/>
      <c r="K414" s="21"/>
      <c r="L414" s="21"/>
      <c r="M414" s="21"/>
      <c r="N414" s="21"/>
    </row>
    <row r="415" spans="1:16" s="9" customFormat="1" x14ac:dyDescent="0.2">
      <c r="A415" s="11" t="s">
        <v>55</v>
      </c>
      <c r="B415" s="14">
        <v>915</v>
      </c>
      <c r="C415" s="8" t="s">
        <v>52</v>
      </c>
      <c r="D415" s="8" t="s">
        <v>14</v>
      </c>
      <c r="E415" s="8"/>
      <c r="F415" s="8"/>
      <c r="G415" s="4">
        <f>G416+G418+G422</f>
        <v>112220</v>
      </c>
      <c r="H415" s="4">
        <f>H416+H418+H422</f>
        <v>111866.9</v>
      </c>
      <c r="I415" s="4">
        <f>I416+I418+I422</f>
        <v>111788.70000000001</v>
      </c>
      <c r="J415" s="21"/>
      <c r="K415" s="21"/>
      <c r="L415" s="21"/>
      <c r="M415" s="21"/>
      <c r="N415" s="21"/>
      <c r="O415" s="29"/>
      <c r="P415" s="29"/>
    </row>
    <row r="416" spans="1:16" ht="51" x14ac:dyDescent="0.2">
      <c r="A416" s="18" t="s">
        <v>373</v>
      </c>
      <c r="B416" s="22">
        <v>915</v>
      </c>
      <c r="C416" s="19" t="s">
        <v>52</v>
      </c>
      <c r="D416" s="19" t="s">
        <v>14</v>
      </c>
      <c r="E416" s="19" t="s">
        <v>110</v>
      </c>
      <c r="F416" s="19"/>
      <c r="G416" s="20">
        <f>G417</f>
        <v>75409</v>
      </c>
      <c r="H416" s="20">
        <f>H417</f>
        <v>75201</v>
      </c>
      <c r="I416" s="20">
        <f>I417</f>
        <v>75155</v>
      </c>
      <c r="O416" s="29"/>
      <c r="P416" s="29"/>
    </row>
    <row r="417" spans="1:16" s="29" customFormat="1" ht="25.5" x14ac:dyDescent="0.2">
      <c r="A417" s="31" t="s">
        <v>169</v>
      </c>
      <c r="B417" s="35">
        <v>915</v>
      </c>
      <c r="C417" s="27" t="s">
        <v>52</v>
      </c>
      <c r="D417" s="27" t="s">
        <v>14</v>
      </c>
      <c r="E417" s="27" t="s">
        <v>111</v>
      </c>
      <c r="F417" s="27" t="s">
        <v>66</v>
      </c>
      <c r="G417" s="28">
        <f>75409</f>
        <v>75409</v>
      </c>
      <c r="H417" s="28">
        <f>75201</f>
        <v>75201</v>
      </c>
      <c r="I417" s="28">
        <f>75155</f>
        <v>75155</v>
      </c>
      <c r="J417" s="21"/>
      <c r="K417" s="21"/>
      <c r="L417" s="21"/>
      <c r="M417" s="21"/>
      <c r="N417" s="21"/>
      <c r="O417" s="21"/>
      <c r="P417" s="21"/>
    </row>
    <row r="418" spans="1:16" ht="76.5" x14ac:dyDescent="0.2">
      <c r="A418" s="18" t="s">
        <v>374</v>
      </c>
      <c r="B418" s="22">
        <v>915</v>
      </c>
      <c r="C418" s="19" t="s">
        <v>52</v>
      </c>
      <c r="D418" s="19" t="s">
        <v>14</v>
      </c>
      <c r="E418" s="19" t="s">
        <v>113</v>
      </c>
      <c r="F418" s="19"/>
      <c r="G418" s="20">
        <f>G419+G420+G421</f>
        <v>36780</v>
      </c>
      <c r="H418" s="20">
        <f>H419+H420+H421</f>
        <v>36634.9</v>
      </c>
      <c r="I418" s="20">
        <f>I419+I420+I421</f>
        <v>36602.700000000004</v>
      </c>
      <c r="J418" s="29"/>
      <c r="K418" s="29"/>
      <c r="L418" s="29"/>
      <c r="M418" s="29"/>
      <c r="N418" s="29"/>
      <c r="O418" s="29"/>
      <c r="P418" s="29"/>
    </row>
    <row r="419" spans="1:16" s="29" customFormat="1" ht="63.75" x14ac:dyDescent="0.2">
      <c r="A419" s="26" t="s">
        <v>67</v>
      </c>
      <c r="B419" s="35">
        <v>915</v>
      </c>
      <c r="C419" s="27" t="s">
        <v>52</v>
      </c>
      <c r="D419" s="27" t="s">
        <v>14</v>
      </c>
      <c r="E419" s="27" t="s">
        <v>113</v>
      </c>
      <c r="F419" s="30" t="s">
        <v>68</v>
      </c>
      <c r="G419" s="28">
        <f>23374.8+7059.2+5.8</f>
        <v>30439.8</v>
      </c>
      <c r="H419" s="28">
        <f>23374.8+7059.2+4.7</f>
        <v>30438.7</v>
      </c>
      <c r="I419" s="28">
        <f>23374.8+7059.2+4.7</f>
        <v>30438.7</v>
      </c>
      <c r="J419" s="21"/>
      <c r="K419" s="21"/>
      <c r="L419" s="21"/>
      <c r="M419" s="21"/>
      <c r="N419" s="21"/>
    </row>
    <row r="420" spans="1:16" s="29" customFormat="1" ht="25.5" x14ac:dyDescent="0.2">
      <c r="A420" s="31" t="s">
        <v>77</v>
      </c>
      <c r="B420" s="35">
        <v>915</v>
      </c>
      <c r="C420" s="27" t="s">
        <v>52</v>
      </c>
      <c r="D420" s="27" t="s">
        <v>14</v>
      </c>
      <c r="E420" s="27" t="s">
        <v>113</v>
      </c>
      <c r="F420" s="30" t="s">
        <v>69</v>
      </c>
      <c r="G420" s="28">
        <f>6065.2</f>
        <v>6065.2</v>
      </c>
      <c r="H420" s="28">
        <f>5921.2</f>
        <v>5921.2</v>
      </c>
      <c r="I420" s="28">
        <f>5891.2</f>
        <v>5891.2</v>
      </c>
      <c r="J420" s="9"/>
      <c r="K420" s="9"/>
      <c r="L420" s="9"/>
      <c r="M420" s="9"/>
      <c r="N420" s="9"/>
      <c r="O420" s="9"/>
      <c r="P420" s="9"/>
    </row>
    <row r="421" spans="1:16" s="29" customFormat="1" x14ac:dyDescent="0.2">
      <c r="A421" s="31" t="s">
        <v>73</v>
      </c>
      <c r="B421" s="35">
        <v>915</v>
      </c>
      <c r="C421" s="27" t="s">
        <v>52</v>
      </c>
      <c r="D421" s="27" t="s">
        <v>14</v>
      </c>
      <c r="E421" s="27" t="s">
        <v>113</v>
      </c>
      <c r="F421" s="27" t="s">
        <v>74</v>
      </c>
      <c r="G421" s="28">
        <f>275</f>
        <v>275</v>
      </c>
      <c r="H421" s="28">
        <f>275</f>
        <v>275</v>
      </c>
      <c r="I421" s="28">
        <f>272.8</f>
        <v>272.8</v>
      </c>
      <c r="J421" s="21"/>
      <c r="K421" s="21"/>
      <c r="L421" s="21"/>
      <c r="M421" s="21"/>
      <c r="N421" s="21"/>
      <c r="O421" s="21"/>
      <c r="P421" s="21"/>
    </row>
    <row r="422" spans="1:16" ht="25.5" x14ac:dyDescent="0.2">
      <c r="A422" s="18" t="s">
        <v>375</v>
      </c>
      <c r="B422" s="22">
        <v>915</v>
      </c>
      <c r="C422" s="19" t="s">
        <v>52</v>
      </c>
      <c r="D422" s="19" t="s">
        <v>14</v>
      </c>
      <c r="E422" s="19" t="s">
        <v>376</v>
      </c>
      <c r="F422" s="19"/>
      <c r="G422" s="20">
        <f>G423+G424</f>
        <v>31</v>
      </c>
      <c r="H422" s="20">
        <f>H423+H424</f>
        <v>31</v>
      </c>
      <c r="I422" s="20">
        <f>I423+I424</f>
        <v>31</v>
      </c>
    </row>
    <row r="423" spans="1:16" s="29" customFormat="1" ht="63.75" x14ac:dyDescent="0.2">
      <c r="A423" s="34" t="s">
        <v>67</v>
      </c>
      <c r="B423" s="36">
        <v>915</v>
      </c>
      <c r="C423" s="27" t="s">
        <v>52</v>
      </c>
      <c r="D423" s="27" t="s">
        <v>14</v>
      </c>
      <c r="E423" s="27" t="s">
        <v>376</v>
      </c>
      <c r="F423" s="30" t="s">
        <v>68</v>
      </c>
      <c r="G423" s="28">
        <f>17.2</f>
        <v>17.2</v>
      </c>
      <c r="H423" s="28">
        <f t="shared" ref="H423:I423" si="50">17.2</f>
        <v>17.2</v>
      </c>
      <c r="I423" s="28">
        <f t="shared" si="50"/>
        <v>17.2</v>
      </c>
      <c r="J423" s="21"/>
      <c r="K423" s="21"/>
      <c r="L423" s="21"/>
      <c r="M423" s="21"/>
      <c r="N423" s="21"/>
      <c r="O423" s="21"/>
      <c r="P423" s="21"/>
    </row>
    <row r="424" spans="1:16" s="29" customFormat="1" ht="25.5" x14ac:dyDescent="0.2">
      <c r="A424" s="31" t="s">
        <v>77</v>
      </c>
      <c r="B424" s="35">
        <v>915</v>
      </c>
      <c r="C424" s="27" t="s">
        <v>52</v>
      </c>
      <c r="D424" s="27" t="s">
        <v>14</v>
      </c>
      <c r="E424" s="27" t="s">
        <v>376</v>
      </c>
      <c r="F424" s="30" t="s">
        <v>69</v>
      </c>
      <c r="G424" s="28">
        <v>13.8</v>
      </c>
      <c r="H424" s="28">
        <v>13.8</v>
      </c>
      <c r="I424" s="28">
        <v>13.8</v>
      </c>
      <c r="J424" s="21"/>
      <c r="K424" s="21"/>
      <c r="L424" s="21"/>
      <c r="M424" s="21"/>
      <c r="N424" s="21"/>
      <c r="O424" s="21"/>
      <c r="P424" s="21"/>
    </row>
    <row r="425" spans="1:16" s="9" customFormat="1" x14ac:dyDescent="0.2">
      <c r="A425" s="11" t="s">
        <v>56</v>
      </c>
      <c r="B425" s="14">
        <v>915</v>
      </c>
      <c r="C425" s="8" t="s">
        <v>52</v>
      </c>
      <c r="D425" s="8" t="s">
        <v>16</v>
      </c>
      <c r="E425" s="8"/>
      <c r="F425" s="8"/>
      <c r="G425" s="4">
        <f>G429+G432+G435+G438+G441+G444+G450+G453+G456+G459+G462+G465+G467+G469+G472+G475+G478+G481+G484+G487+G447+G426</f>
        <v>324292.8</v>
      </c>
      <c r="H425" s="4">
        <f>H429+H432+H435+H438+H441+H444+H450+H453+H456+H459+H462+H465+H467+H469+H472+H475+H478+H481+H484+H487+H447+H426</f>
        <v>324014.3</v>
      </c>
      <c r="I425" s="4">
        <f>I429+I432+I435+I438+I441+I444+I450+I453+I456+I459+I462+I465+I467+I469+I472+I475+I478+I481+I484+I487+I447+I426</f>
        <v>323714.3</v>
      </c>
      <c r="J425" s="86"/>
      <c r="K425" s="86"/>
      <c r="L425" s="86"/>
      <c r="M425" s="29"/>
      <c r="N425" s="29"/>
      <c r="O425" s="29"/>
      <c r="P425" s="29"/>
    </row>
    <row r="426" spans="1:16" ht="51" x14ac:dyDescent="0.2">
      <c r="A426" s="18" t="s">
        <v>377</v>
      </c>
      <c r="B426" s="18">
        <v>915</v>
      </c>
      <c r="C426" s="19" t="s">
        <v>52</v>
      </c>
      <c r="D426" s="19" t="s">
        <v>16</v>
      </c>
      <c r="E426" s="19" t="s">
        <v>131</v>
      </c>
      <c r="F426" s="19"/>
      <c r="G426" s="20">
        <f>G428+G427</f>
        <v>501</v>
      </c>
      <c r="H426" s="20">
        <f>H428+H427</f>
        <v>530</v>
      </c>
      <c r="I426" s="20">
        <f>I428+I427</f>
        <v>530</v>
      </c>
      <c r="O426" s="29"/>
      <c r="P426" s="29"/>
    </row>
    <row r="427" spans="1:16" ht="25.5" x14ac:dyDescent="0.2">
      <c r="A427" s="31" t="s">
        <v>77</v>
      </c>
      <c r="B427" s="26">
        <v>915</v>
      </c>
      <c r="C427" s="27" t="s">
        <v>52</v>
      </c>
      <c r="D427" s="27" t="s">
        <v>16</v>
      </c>
      <c r="E427" s="27" t="s">
        <v>131</v>
      </c>
      <c r="F427" s="30" t="s">
        <v>69</v>
      </c>
      <c r="G427" s="28">
        <f>2.2</f>
        <v>2.2000000000000002</v>
      </c>
      <c r="H427" s="28">
        <f>2.2</f>
        <v>2.2000000000000002</v>
      </c>
      <c r="I427" s="28">
        <f>2.2</f>
        <v>2.2000000000000002</v>
      </c>
    </row>
    <row r="428" spans="1:16" x14ac:dyDescent="0.2">
      <c r="A428" s="31" t="s">
        <v>70</v>
      </c>
      <c r="B428" s="31">
        <v>915</v>
      </c>
      <c r="C428" s="27" t="s">
        <v>52</v>
      </c>
      <c r="D428" s="27" t="s">
        <v>16</v>
      </c>
      <c r="E428" s="27" t="s">
        <v>131</v>
      </c>
      <c r="F428" s="27" t="s">
        <v>71</v>
      </c>
      <c r="G428" s="28">
        <f>498.8</f>
        <v>498.8</v>
      </c>
      <c r="H428" s="28">
        <f>527.8</f>
        <v>527.79999999999995</v>
      </c>
      <c r="I428" s="28">
        <f>527.8</f>
        <v>527.79999999999995</v>
      </c>
      <c r="J428" s="29"/>
      <c r="K428" s="29"/>
      <c r="L428" s="29"/>
      <c r="M428" s="29"/>
      <c r="N428" s="29"/>
      <c r="O428" s="29"/>
      <c r="P428" s="29"/>
    </row>
    <row r="429" spans="1:16" ht="38.25" x14ac:dyDescent="0.2">
      <c r="A429" s="18" t="s">
        <v>378</v>
      </c>
      <c r="B429" s="22">
        <v>915</v>
      </c>
      <c r="C429" s="19" t="s">
        <v>52</v>
      </c>
      <c r="D429" s="19" t="s">
        <v>16</v>
      </c>
      <c r="E429" s="19" t="s">
        <v>115</v>
      </c>
      <c r="F429" s="19"/>
      <c r="G429" s="20">
        <f>G431+G430</f>
        <v>7600</v>
      </c>
      <c r="H429" s="20">
        <f>H431+H430</f>
        <v>7600</v>
      </c>
      <c r="I429" s="20">
        <f>I431+I430</f>
        <v>7600</v>
      </c>
      <c r="O429" s="29"/>
      <c r="P429" s="29"/>
    </row>
    <row r="430" spans="1:16" s="29" customFormat="1" ht="25.5" x14ac:dyDescent="0.2">
      <c r="A430" s="31" t="s">
        <v>77</v>
      </c>
      <c r="B430" s="26">
        <v>915</v>
      </c>
      <c r="C430" s="27" t="s">
        <v>52</v>
      </c>
      <c r="D430" s="27" t="s">
        <v>16</v>
      </c>
      <c r="E430" s="27" t="s">
        <v>115</v>
      </c>
      <c r="F430" s="30" t="s">
        <v>69</v>
      </c>
      <c r="G430" s="28">
        <f>52.2</f>
        <v>52.2</v>
      </c>
      <c r="H430" s="28">
        <f>52.2</f>
        <v>52.2</v>
      </c>
      <c r="I430" s="28">
        <f>52.2</f>
        <v>52.2</v>
      </c>
      <c r="J430" s="21"/>
      <c r="K430" s="21"/>
      <c r="L430" s="21"/>
      <c r="M430" s="21"/>
      <c r="N430" s="21"/>
      <c r="O430" s="21"/>
      <c r="P430" s="21"/>
    </row>
    <row r="431" spans="1:16" s="29" customFormat="1" x14ac:dyDescent="0.2">
      <c r="A431" s="31" t="s">
        <v>70</v>
      </c>
      <c r="B431" s="35">
        <v>915</v>
      </c>
      <c r="C431" s="27" t="s">
        <v>52</v>
      </c>
      <c r="D431" s="27" t="s">
        <v>16</v>
      </c>
      <c r="E431" s="27" t="s">
        <v>115</v>
      </c>
      <c r="F431" s="27" t="s">
        <v>71</v>
      </c>
      <c r="G431" s="28">
        <f>7547.8</f>
        <v>7547.8</v>
      </c>
      <c r="H431" s="28">
        <f>7547.8</f>
        <v>7547.8</v>
      </c>
      <c r="I431" s="28">
        <f>7547.8</f>
        <v>7547.8</v>
      </c>
    </row>
    <row r="432" spans="1:16" ht="25.5" x14ac:dyDescent="0.2">
      <c r="A432" s="18" t="s">
        <v>379</v>
      </c>
      <c r="B432" s="22">
        <v>915</v>
      </c>
      <c r="C432" s="19" t="s">
        <v>52</v>
      </c>
      <c r="D432" s="19" t="s">
        <v>16</v>
      </c>
      <c r="E432" s="19" t="s">
        <v>117</v>
      </c>
      <c r="F432" s="19"/>
      <c r="G432" s="20">
        <f>G434+G433</f>
        <v>56772</v>
      </c>
      <c r="H432" s="20">
        <f>H434+H433</f>
        <v>56759</v>
      </c>
      <c r="I432" s="20">
        <f>I434+I433</f>
        <v>56753</v>
      </c>
      <c r="O432" s="29"/>
      <c r="P432" s="29"/>
    </row>
    <row r="433" spans="1:16" s="29" customFormat="1" ht="25.5" x14ac:dyDescent="0.2">
      <c r="A433" s="31" t="s">
        <v>77</v>
      </c>
      <c r="B433" s="26">
        <v>915</v>
      </c>
      <c r="C433" s="27" t="s">
        <v>52</v>
      </c>
      <c r="D433" s="27" t="s">
        <v>16</v>
      </c>
      <c r="E433" s="27" t="s">
        <v>117</v>
      </c>
      <c r="F433" s="30" t="s">
        <v>69</v>
      </c>
      <c r="G433" s="28">
        <f>713</f>
        <v>713</v>
      </c>
      <c r="H433" s="28">
        <f>713</f>
        <v>713</v>
      </c>
      <c r="I433" s="28">
        <f>713</f>
        <v>713</v>
      </c>
      <c r="J433" s="21"/>
      <c r="K433" s="21"/>
      <c r="L433" s="21"/>
      <c r="M433" s="21"/>
      <c r="N433" s="21"/>
      <c r="O433" s="21"/>
      <c r="P433" s="21"/>
    </row>
    <row r="434" spans="1:16" s="29" customFormat="1" x14ac:dyDescent="0.2">
      <c r="A434" s="31" t="s">
        <v>70</v>
      </c>
      <c r="B434" s="35">
        <v>915</v>
      </c>
      <c r="C434" s="27" t="s">
        <v>52</v>
      </c>
      <c r="D434" s="27" t="s">
        <v>16</v>
      </c>
      <c r="E434" s="27" t="s">
        <v>117</v>
      </c>
      <c r="F434" s="27" t="s">
        <v>71</v>
      </c>
      <c r="G434" s="28">
        <f>56059</f>
        <v>56059</v>
      </c>
      <c r="H434" s="28">
        <f>56046</f>
        <v>56046</v>
      </c>
      <c r="I434" s="28">
        <f>56040</f>
        <v>56040</v>
      </c>
    </row>
    <row r="435" spans="1:16" ht="89.25" x14ac:dyDescent="0.2">
      <c r="A435" s="18" t="s">
        <v>380</v>
      </c>
      <c r="B435" s="22">
        <v>915</v>
      </c>
      <c r="C435" s="19" t="s">
        <v>52</v>
      </c>
      <c r="D435" s="19" t="s">
        <v>16</v>
      </c>
      <c r="E435" s="19" t="s">
        <v>116</v>
      </c>
      <c r="F435" s="19"/>
      <c r="G435" s="20">
        <f>G436+G437</f>
        <v>11.5</v>
      </c>
      <c r="H435" s="20">
        <f>H436+H437</f>
        <v>13</v>
      </c>
      <c r="I435" s="20">
        <f>I436+I437</f>
        <v>15</v>
      </c>
      <c r="O435" s="29"/>
      <c r="P435" s="29"/>
    </row>
    <row r="436" spans="1:16" s="29" customFormat="1" ht="25.5" x14ac:dyDescent="0.2">
      <c r="A436" s="31" t="s">
        <v>77</v>
      </c>
      <c r="B436" s="26">
        <v>915</v>
      </c>
      <c r="C436" s="27" t="s">
        <v>52</v>
      </c>
      <c r="D436" s="27" t="s">
        <v>16</v>
      </c>
      <c r="E436" s="27" t="s">
        <v>116</v>
      </c>
      <c r="F436" s="30" t="s">
        <v>69</v>
      </c>
      <c r="G436" s="28">
        <f>0.1</f>
        <v>0.1</v>
      </c>
      <c r="H436" s="28">
        <f>0.1</f>
        <v>0.1</v>
      </c>
      <c r="I436" s="28">
        <f>0.1</f>
        <v>0.1</v>
      </c>
      <c r="J436" s="21"/>
      <c r="K436" s="21"/>
      <c r="L436" s="21"/>
      <c r="M436" s="21"/>
      <c r="N436" s="21"/>
      <c r="O436" s="21"/>
      <c r="P436" s="21"/>
    </row>
    <row r="437" spans="1:16" s="29" customFormat="1" x14ac:dyDescent="0.2">
      <c r="A437" s="31" t="s">
        <v>70</v>
      </c>
      <c r="B437" s="35">
        <v>915</v>
      </c>
      <c r="C437" s="27" t="s">
        <v>52</v>
      </c>
      <c r="D437" s="27" t="s">
        <v>16</v>
      </c>
      <c r="E437" s="27" t="s">
        <v>116</v>
      </c>
      <c r="F437" s="27" t="s">
        <v>71</v>
      </c>
      <c r="G437" s="28">
        <f>11.4</f>
        <v>11.4</v>
      </c>
      <c r="H437" s="28">
        <f>12.9</f>
        <v>12.9</v>
      </c>
      <c r="I437" s="28">
        <f>14.9</f>
        <v>14.9</v>
      </c>
    </row>
    <row r="438" spans="1:16" ht="63.75" x14ac:dyDescent="0.2">
      <c r="A438" s="18" t="s">
        <v>257</v>
      </c>
      <c r="B438" s="22">
        <v>915</v>
      </c>
      <c r="C438" s="19" t="s">
        <v>52</v>
      </c>
      <c r="D438" s="19" t="s">
        <v>16</v>
      </c>
      <c r="E438" s="19" t="s">
        <v>105</v>
      </c>
      <c r="F438" s="19"/>
      <c r="G438" s="20">
        <f>G440+G439</f>
        <v>25230.799999999999</v>
      </c>
      <c r="H438" s="20">
        <f>H440+H439</f>
        <v>25230.799999999999</v>
      </c>
      <c r="I438" s="20">
        <f>I440+I439</f>
        <v>25230.799999999999</v>
      </c>
      <c r="O438" s="29"/>
      <c r="P438" s="29"/>
    </row>
    <row r="439" spans="1:16" s="29" customFormat="1" ht="25.5" x14ac:dyDescent="0.2">
      <c r="A439" s="31" t="s">
        <v>77</v>
      </c>
      <c r="B439" s="26">
        <v>915</v>
      </c>
      <c r="C439" s="27" t="s">
        <v>52</v>
      </c>
      <c r="D439" s="27" t="s">
        <v>16</v>
      </c>
      <c r="E439" s="27" t="s">
        <v>105</v>
      </c>
      <c r="F439" s="30" t="s">
        <v>69</v>
      </c>
      <c r="G439" s="28">
        <f>185.1+70.2</f>
        <v>255.3</v>
      </c>
      <c r="H439" s="28">
        <f>185.1+70.2</f>
        <v>255.3</v>
      </c>
      <c r="I439" s="28">
        <f>185.1+70.2</f>
        <v>255.3</v>
      </c>
      <c r="J439" s="21"/>
      <c r="K439" s="21"/>
      <c r="L439" s="21"/>
      <c r="M439" s="21"/>
      <c r="N439" s="21"/>
      <c r="O439" s="21"/>
      <c r="P439" s="21"/>
    </row>
    <row r="440" spans="1:16" s="29" customFormat="1" x14ac:dyDescent="0.2">
      <c r="A440" s="31" t="s">
        <v>70</v>
      </c>
      <c r="B440" s="35">
        <v>915</v>
      </c>
      <c r="C440" s="27" t="s">
        <v>52</v>
      </c>
      <c r="D440" s="27" t="s">
        <v>16</v>
      </c>
      <c r="E440" s="27" t="s">
        <v>105</v>
      </c>
      <c r="F440" s="27" t="s">
        <v>71</v>
      </c>
      <c r="G440" s="28">
        <f>24955.5+20</f>
        <v>24975.5</v>
      </c>
      <c r="H440" s="28">
        <f>24955.5+20</f>
        <v>24975.5</v>
      </c>
      <c r="I440" s="28">
        <f>24955.5+20</f>
        <v>24975.5</v>
      </c>
    </row>
    <row r="441" spans="1:16" ht="140.25" x14ac:dyDescent="0.2">
      <c r="A441" s="18" t="s">
        <v>258</v>
      </c>
      <c r="B441" s="22">
        <v>915</v>
      </c>
      <c r="C441" s="19" t="s">
        <v>52</v>
      </c>
      <c r="D441" s="19" t="s">
        <v>16</v>
      </c>
      <c r="E441" s="19" t="s">
        <v>106</v>
      </c>
      <c r="F441" s="19"/>
      <c r="G441" s="20">
        <f>G443+G442</f>
        <v>2078</v>
      </c>
      <c r="H441" s="20">
        <f>H443+H442</f>
        <v>2078</v>
      </c>
      <c r="I441" s="20">
        <f>I443+I442</f>
        <v>2078</v>
      </c>
      <c r="O441" s="29"/>
      <c r="P441" s="29"/>
    </row>
    <row r="442" spans="1:16" s="29" customFormat="1" ht="25.5" x14ac:dyDescent="0.2">
      <c r="A442" s="31" t="s">
        <v>77</v>
      </c>
      <c r="B442" s="35">
        <v>915</v>
      </c>
      <c r="C442" s="27" t="s">
        <v>52</v>
      </c>
      <c r="D442" s="27" t="s">
        <v>16</v>
      </c>
      <c r="E442" s="27" t="s">
        <v>106</v>
      </c>
      <c r="F442" s="30" t="s">
        <v>69</v>
      </c>
      <c r="G442" s="28">
        <f>38+2</f>
        <v>40</v>
      </c>
      <c r="H442" s="28">
        <f>38+2</f>
        <v>40</v>
      </c>
      <c r="I442" s="28">
        <f>38+2</f>
        <v>40</v>
      </c>
      <c r="J442" s="21"/>
      <c r="K442" s="21"/>
      <c r="L442" s="21"/>
      <c r="M442" s="21"/>
      <c r="N442" s="21"/>
      <c r="O442" s="21"/>
      <c r="P442" s="21"/>
    </row>
    <row r="443" spans="1:16" s="29" customFormat="1" x14ac:dyDescent="0.2">
      <c r="A443" s="31" t="s">
        <v>70</v>
      </c>
      <c r="B443" s="35">
        <v>915</v>
      </c>
      <c r="C443" s="27" t="s">
        <v>52</v>
      </c>
      <c r="D443" s="27" t="s">
        <v>16</v>
      </c>
      <c r="E443" s="27" t="s">
        <v>106</v>
      </c>
      <c r="F443" s="27" t="s">
        <v>71</v>
      </c>
      <c r="G443" s="28">
        <f>2038</f>
        <v>2038</v>
      </c>
      <c r="H443" s="28">
        <f>2038</f>
        <v>2038</v>
      </c>
      <c r="I443" s="28">
        <f>2038</f>
        <v>2038</v>
      </c>
      <c r="J443" s="21"/>
      <c r="K443" s="21"/>
      <c r="L443" s="21"/>
      <c r="M443" s="21"/>
      <c r="N443" s="21"/>
      <c r="O443" s="21"/>
      <c r="P443" s="21"/>
    </row>
    <row r="444" spans="1:16" ht="89.25" x14ac:dyDescent="0.2">
      <c r="A444" s="18" t="s">
        <v>259</v>
      </c>
      <c r="B444" s="22">
        <v>915</v>
      </c>
      <c r="C444" s="19" t="s">
        <v>52</v>
      </c>
      <c r="D444" s="19" t="s">
        <v>16</v>
      </c>
      <c r="E444" s="19" t="s">
        <v>107</v>
      </c>
      <c r="F444" s="19"/>
      <c r="G444" s="20">
        <f>G446+G445</f>
        <v>9559.5999999999985</v>
      </c>
      <c r="H444" s="20">
        <f>H446+H445</f>
        <v>9559.5999999999985</v>
      </c>
      <c r="I444" s="20">
        <f>I446+I445</f>
        <v>9559.5999999999985</v>
      </c>
    </row>
    <row r="445" spans="1:16" s="29" customFormat="1" ht="25.5" x14ac:dyDescent="0.2">
      <c r="A445" s="31" t="s">
        <v>77</v>
      </c>
      <c r="B445" s="26">
        <v>915</v>
      </c>
      <c r="C445" s="27" t="s">
        <v>52</v>
      </c>
      <c r="D445" s="27" t="s">
        <v>16</v>
      </c>
      <c r="E445" s="27" t="s">
        <v>107</v>
      </c>
      <c r="F445" s="30" t="s">
        <v>69</v>
      </c>
      <c r="G445" s="28">
        <f>99.2+20.6</f>
        <v>119.80000000000001</v>
      </c>
      <c r="H445" s="28">
        <f>99.2+20.6</f>
        <v>119.80000000000001</v>
      </c>
      <c r="I445" s="28">
        <f>99.2+20.6</f>
        <v>119.80000000000001</v>
      </c>
      <c r="J445" s="21"/>
      <c r="K445" s="21"/>
      <c r="L445" s="21"/>
      <c r="M445" s="21"/>
      <c r="N445" s="21"/>
      <c r="O445" s="21"/>
      <c r="P445" s="21"/>
    </row>
    <row r="446" spans="1:16" s="29" customFormat="1" x14ac:dyDescent="0.2">
      <c r="A446" s="31" t="s">
        <v>70</v>
      </c>
      <c r="B446" s="35">
        <v>915</v>
      </c>
      <c r="C446" s="27" t="s">
        <v>52</v>
      </c>
      <c r="D446" s="27" t="s">
        <v>16</v>
      </c>
      <c r="E446" s="27" t="s">
        <v>107</v>
      </c>
      <c r="F446" s="27" t="s">
        <v>71</v>
      </c>
      <c r="G446" s="28">
        <f>9008.8+431</f>
        <v>9439.7999999999993</v>
      </c>
      <c r="H446" s="28">
        <f>9008.8+431</f>
        <v>9439.7999999999993</v>
      </c>
      <c r="I446" s="28">
        <f>9008.8+431</f>
        <v>9439.7999999999993</v>
      </c>
    </row>
    <row r="447" spans="1:16" ht="38.25" x14ac:dyDescent="0.2">
      <c r="A447" s="18" t="s">
        <v>381</v>
      </c>
      <c r="B447" s="18">
        <v>915</v>
      </c>
      <c r="C447" s="19" t="s">
        <v>52</v>
      </c>
      <c r="D447" s="19" t="s">
        <v>16</v>
      </c>
      <c r="E447" s="19" t="s">
        <v>121</v>
      </c>
      <c r="F447" s="19"/>
      <c r="G447" s="20">
        <f>G449+G448</f>
        <v>1</v>
      </c>
      <c r="H447" s="20">
        <f>H449+H448</f>
        <v>1</v>
      </c>
      <c r="I447" s="20">
        <f>I449+I448</f>
        <v>1</v>
      </c>
      <c r="O447" s="29"/>
      <c r="P447" s="29"/>
    </row>
    <row r="448" spans="1:16" ht="25.5" x14ac:dyDescent="0.2">
      <c r="A448" s="31" t="s">
        <v>77</v>
      </c>
      <c r="B448" s="26">
        <v>915</v>
      </c>
      <c r="C448" s="27" t="s">
        <v>52</v>
      </c>
      <c r="D448" s="27" t="s">
        <v>16</v>
      </c>
      <c r="E448" s="27" t="s">
        <v>121</v>
      </c>
      <c r="F448" s="30" t="s">
        <v>69</v>
      </c>
      <c r="G448" s="28">
        <f>0.1</f>
        <v>0.1</v>
      </c>
      <c r="H448" s="28">
        <f>0.1</f>
        <v>0.1</v>
      </c>
      <c r="I448" s="28">
        <f>0.1</f>
        <v>0.1</v>
      </c>
    </row>
    <row r="449" spans="1:16" x14ac:dyDescent="0.2">
      <c r="A449" s="31" t="s">
        <v>70</v>
      </c>
      <c r="B449" s="31">
        <v>915</v>
      </c>
      <c r="C449" s="27" t="s">
        <v>52</v>
      </c>
      <c r="D449" s="27" t="s">
        <v>16</v>
      </c>
      <c r="E449" s="27" t="s">
        <v>121</v>
      </c>
      <c r="F449" s="27" t="s">
        <v>71</v>
      </c>
      <c r="G449" s="28">
        <v>0.9</v>
      </c>
      <c r="H449" s="28">
        <v>0.9</v>
      </c>
      <c r="I449" s="28">
        <v>0.9</v>
      </c>
      <c r="J449" s="29"/>
      <c r="K449" s="29"/>
      <c r="L449" s="29"/>
      <c r="M449" s="29"/>
      <c r="N449" s="29"/>
      <c r="O449" s="29"/>
      <c r="P449" s="29"/>
    </row>
    <row r="450" spans="1:16" ht="51" x14ac:dyDescent="0.2">
      <c r="A450" s="18" t="s">
        <v>354</v>
      </c>
      <c r="B450" s="22">
        <v>915</v>
      </c>
      <c r="C450" s="19" t="s">
        <v>52</v>
      </c>
      <c r="D450" s="19" t="s">
        <v>16</v>
      </c>
      <c r="E450" s="19" t="s">
        <v>122</v>
      </c>
      <c r="F450" s="19"/>
      <c r="G450" s="20">
        <f>G452+G451</f>
        <v>12047</v>
      </c>
      <c r="H450" s="20">
        <f>H452+H451</f>
        <v>12047</v>
      </c>
      <c r="I450" s="20">
        <f>I452+I451</f>
        <v>12047</v>
      </c>
      <c r="O450" s="29"/>
      <c r="P450" s="29"/>
    </row>
    <row r="451" spans="1:16" s="29" customFormat="1" ht="25.5" x14ac:dyDescent="0.2">
      <c r="A451" s="31" t="s">
        <v>77</v>
      </c>
      <c r="B451" s="26">
        <v>915</v>
      </c>
      <c r="C451" s="27" t="s">
        <v>52</v>
      </c>
      <c r="D451" s="27" t="s">
        <v>16</v>
      </c>
      <c r="E451" s="27" t="s">
        <v>122</v>
      </c>
      <c r="F451" s="30" t="s">
        <v>69</v>
      </c>
      <c r="G451" s="28">
        <f>1+62.9</f>
        <v>63.9</v>
      </c>
      <c r="H451" s="28">
        <f>1+62.9</f>
        <v>63.9</v>
      </c>
      <c r="I451" s="28">
        <f>1+62.9</f>
        <v>63.9</v>
      </c>
      <c r="J451" s="21"/>
      <c r="K451" s="21"/>
      <c r="L451" s="21"/>
      <c r="M451" s="21"/>
      <c r="N451" s="21"/>
      <c r="O451" s="21"/>
      <c r="P451" s="21"/>
    </row>
    <row r="452" spans="1:16" s="29" customFormat="1" x14ac:dyDescent="0.2">
      <c r="A452" s="31" t="s">
        <v>70</v>
      </c>
      <c r="B452" s="35">
        <v>915</v>
      </c>
      <c r="C452" s="27" t="s">
        <v>52</v>
      </c>
      <c r="D452" s="27" t="s">
        <v>16</v>
      </c>
      <c r="E452" s="27" t="s">
        <v>122</v>
      </c>
      <c r="F452" s="27" t="s">
        <v>71</v>
      </c>
      <c r="G452" s="28">
        <f>11933.1+50</f>
        <v>11983.1</v>
      </c>
      <c r="H452" s="28">
        <f>11933.1+50</f>
        <v>11983.1</v>
      </c>
      <c r="I452" s="28">
        <f>11933.1+50</f>
        <v>11983.1</v>
      </c>
    </row>
    <row r="453" spans="1:16" ht="63.75" x14ac:dyDescent="0.2">
      <c r="A453" s="18" t="s">
        <v>260</v>
      </c>
      <c r="B453" s="22">
        <v>915</v>
      </c>
      <c r="C453" s="19" t="s">
        <v>52</v>
      </c>
      <c r="D453" s="19" t="s">
        <v>16</v>
      </c>
      <c r="E453" s="19" t="s">
        <v>108</v>
      </c>
      <c r="F453" s="19"/>
      <c r="G453" s="20">
        <f>G455+G454</f>
        <v>499.4</v>
      </c>
      <c r="H453" s="20">
        <f>H455+H454</f>
        <v>499.4</v>
      </c>
      <c r="I453" s="20">
        <f>I455+I454</f>
        <v>499.4</v>
      </c>
      <c r="J453" s="29"/>
      <c r="K453" s="29"/>
      <c r="L453" s="29"/>
      <c r="M453" s="29"/>
      <c r="N453" s="29"/>
      <c r="O453" s="29"/>
      <c r="P453" s="29"/>
    </row>
    <row r="454" spans="1:16" s="29" customFormat="1" ht="25.5" x14ac:dyDescent="0.2">
      <c r="A454" s="31" t="s">
        <v>77</v>
      </c>
      <c r="B454" s="26">
        <v>915</v>
      </c>
      <c r="C454" s="27" t="s">
        <v>52</v>
      </c>
      <c r="D454" s="27" t="s">
        <v>16</v>
      </c>
      <c r="E454" s="27" t="s">
        <v>108</v>
      </c>
      <c r="F454" s="30" t="s">
        <v>69</v>
      </c>
      <c r="G454" s="28">
        <f>3.1+2.1</f>
        <v>5.2</v>
      </c>
      <c r="H454" s="28">
        <f>3.1+2.1</f>
        <v>5.2</v>
      </c>
      <c r="I454" s="28">
        <f>3.1+2.1</f>
        <v>5.2</v>
      </c>
      <c r="J454" s="21"/>
      <c r="K454" s="21"/>
      <c r="L454" s="21"/>
      <c r="M454" s="21"/>
      <c r="N454" s="21"/>
      <c r="O454" s="21"/>
      <c r="P454" s="21"/>
    </row>
    <row r="455" spans="1:16" s="29" customFormat="1" x14ac:dyDescent="0.2">
      <c r="A455" s="31" t="s">
        <v>70</v>
      </c>
      <c r="B455" s="35">
        <v>915</v>
      </c>
      <c r="C455" s="27" t="s">
        <v>52</v>
      </c>
      <c r="D455" s="27" t="s">
        <v>16</v>
      </c>
      <c r="E455" s="27" t="s">
        <v>108</v>
      </c>
      <c r="F455" s="27" t="s">
        <v>71</v>
      </c>
      <c r="G455" s="28">
        <f>494.2</f>
        <v>494.2</v>
      </c>
      <c r="H455" s="28">
        <f>494.2</f>
        <v>494.2</v>
      </c>
      <c r="I455" s="28">
        <f>494.2</f>
        <v>494.2</v>
      </c>
    </row>
    <row r="456" spans="1:16" ht="63.75" x14ac:dyDescent="0.2">
      <c r="A456" s="18" t="s">
        <v>382</v>
      </c>
      <c r="B456" s="58">
        <v>915</v>
      </c>
      <c r="C456" s="19" t="s">
        <v>52</v>
      </c>
      <c r="D456" s="19" t="s">
        <v>16</v>
      </c>
      <c r="E456" s="19" t="s">
        <v>125</v>
      </c>
      <c r="F456" s="19"/>
      <c r="G456" s="20">
        <f>G458+G457</f>
        <v>12.7</v>
      </c>
      <c r="H456" s="20">
        <f>H458+H457</f>
        <v>12.7</v>
      </c>
      <c r="I456" s="20">
        <f>I458+I457</f>
        <v>12.7</v>
      </c>
      <c r="O456" s="29"/>
      <c r="P456" s="29"/>
    </row>
    <row r="457" spans="1:16" s="29" customFormat="1" ht="25.5" x14ac:dyDescent="0.2">
      <c r="A457" s="31" t="s">
        <v>77</v>
      </c>
      <c r="B457" s="26">
        <v>915</v>
      </c>
      <c r="C457" s="27" t="s">
        <v>52</v>
      </c>
      <c r="D457" s="27" t="s">
        <v>16</v>
      </c>
      <c r="E457" s="27" t="s">
        <v>125</v>
      </c>
      <c r="F457" s="30" t="s">
        <v>69</v>
      </c>
      <c r="G457" s="28">
        <f>0.1</f>
        <v>0.1</v>
      </c>
      <c r="H457" s="28">
        <f>0.1</f>
        <v>0.1</v>
      </c>
      <c r="I457" s="28">
        <f>0.1</f>
        <v>0.1</v>
      </c>
      <c r="J457" s="21"/>
      <c r="K457" s="21"/>
      <c r="L457" s="21"/>
      <c r="M457" s="21"/>
      <c r="N457" s="21"/>
      <c r="O457" s="21"/>
      <c r="P457" s="21"/>
    </row>
    <row r="458" spans="1:16" s="29" customFormat="1" x14ac:dyDescent="0.2">
      <c r="A458" s="31" t="s">
        <v>70</v>
      </c>
      <c r="B458" s="35">
        <v>915</v>
      </c>
      <c r="C458" s="27" t="s">
        <v>52</v>
      </c>
      <c r="D458" s="27" t="s">
        <v>16</v>
      </c>
      <c r="E458" s="27" t="s">
        <v>125</v>
      </c>
      <c r="F458" s="27" t="s">
        <v>71</v>
      </c>
      <c r="G458" s="28">
        <f>12.6</f>
        <v>12.6</v>
      </c>
      <c r="H458" s="28">
        <f>12.6</f>
        <v>12.6</v>
      </c>
      <c r="I458" s="28">
        <f>12.6</f>
        <v>12.6</v>
      </c>
    </row>
    <row r="459" spans="1:16" ht="51" x14ac:dyDescent="0.2">
      <c r="A459" s="18" t="s">
        <v>261</v>
      </c>
      <c r="B459" s="22">
        <v>915</v>
      </c>
      <c r="C459" s="19" t="s">
        <v>52</v>
      </c>
      <c r="D459" s="19" t="s">
        <v>16</v>
      </c>
      <c r="E459" s="19" t="s">
        <v>109</v>
      </c>
      <c r="F459" s="19"/>
      <c r="G459" s="20">
        <f>G461+G460</f>
        <v>690.6</v>
      </c>
      <c r="H459" s="20">
        <f>H461+H460</f>
        <v>690.6</v>
      </c>
      <c r="I459" s="20">
        <f>I461+I460</f>
        <v>690.6</v>
      </c>
      <c r="O459" s="29"/>
      <c r="P459" s="29"/>
    </row>
    <row r="460" spans="1:16" s="29" customFormat="1" ht="25.5" x14ac:dyDescent="0.2">
      <c r="A460" s="31" t="s">
        <v>77</v>
      </c>
      <c r="B460" s="26">
        <v>915</v>
      </c>
      <c r="C460" s="27" t="s">
        <v>52</v>
      </c>
      <c r="D460" s="27" t="s">
        <v>16</v>
      </c>
      <c r="E460" s="27" t="s">
        <v>109</v>
      </c>
      <c r="F460" s="30" t="s">
        <v>69</v>
      </c>
      <c r="G460" s="28">
        <f>9.2+1.5</f>
        <v>10.7</v>
      </c>
      <c r="H460" s="28">
        <f>9.2+1.5</f>
        <v>10.7</v>
      </c>
      <c r="I460" s="28">
        <f>9.2+1.5</f>
        <v>10.7</v>
      </c>
      <c r="J460" s="21"/>
      <c r="K460" s="21"/>
      <c r="L460" s="21"/>
      <c r="M460" s="21"/>
      <c r="N460" s="21"/>
      <c r="O460" s="21"/>
      <c r="P460" s="21"/>
    </row>
    <row r="461" spans="1:16" s="29" customFormat="1" x14ac:dyDescent="0.2">
      <c r="A461" s="31" t="s">
        <v>70</v>
      </c>
      <c r="B461" s="35">
        <v>915</v>
      </c>
      <c r="C461" s="27" t="s">
        <v>52</v>
      </c>
      <c r="D461" s="27" t="s">
        <v>16</v>
      </c>
      <c r="E461" s="27" t="s">
        <v>109</v>
      </c>
      <c r="F461" s="27" t="s">
        <v>71</v>
      </c>
      <c r="G461" s="28">
        <f>679.9</f>
        <v>679.9</v>
      </c>
      <c r="H461" s="28">
        <f>679.9</f>
        <v>679.9</v>
      </c>
      <c r="I461" s="28">
        <f>679.9</f>
        <v>679.9</v>
      </c>
      <c r="J461" s="21"/>
      <c r="K461" s="21"/>
      <c r="L461" s="21"/>
      <c r="M461" s="21"/>
      <c r="N461" s="21"/>
    </row>
    <row r="462" spans="1:16" ht="25.5" x14ac:dyDescent="0.2">
      <c r="A462" s="18" t="s">
        <v>383</v>
      </c>
      <c r="B462" s="22">
        <v>915</v>
      </c>
      <c r="C462" s="19" t="s">
        <v>52</v>
      </c>
      <c r="D462" s="19" t="s">
        <v>16</v>
      </c>
      <c r="E462" s="19" t="s">
        <v>119</v>
      </c>
      <c r="F462" s="19"/>
      <c r="G462" s="20">
        <f>G464+G463</f>
        <v>92227</v>
      </c>
      <c r="H462" s="20">
        <f>H464+H463</f>
        <v>92227</v>
      </c>
      <c r="I462" s="20">
        <f>I464+I463</f>
        <v>92227</v>
      </c>
    </row>
    <row r="463" spans="1:16" s="29" customFormat="1" ht="25.5" x14ac:dyDescent="0.2">
      <c r="A463" s="31" t="s">
        <v>77</v>
      </c>
      <c r="B463" s="26">
        <v>915</v>
      </c>
      <c r="C463" s="27" t="s">
        <v>52</v>
      </c>
      <c r="D463" s="27" t="s">
        <v>16</v>
      </c>
      <c r="E463" s="27" t="s">
        <v>119</v>
      </c>
      <c r="F463" s="30" t="s">
        <v>69</v>
      </c>
      <c r="G463" s="28">
        <f>38+400</f>
        <v>438</v>
      </c>
      <c r="H463" s="28">
        <f>38+400</f>
        <v>438</v>
      </c>
      <c r="I463" s="28">
        <f>38+400</f>
        <v>438</v>
      </c>
      <c r="J463" s="21"/>
      <c r="K463" s="21"/>
      <c r="L463" s="21"/>
      <c r="M463" s="21"/>
      <c r="N463" s="21"/>
    </row>
    <row r="464" spans="1:16" s="29" customFormat="1" x14ac:dyDescent="0.2">
      <c r="A464" s="31" t="s">
        <v>70</v>
      </c>
      <c r="B464" s="35">
        <v>915</v>
      </c>
      <c r="C464" s="27" t="s">
        <v>52</v>
      </c>
      <c r="D464" s="27" t="s">
        <v>16</v>
      </c>
      <c r="E464" s="27" t="s">
        <v>119</v>
      </c>
      <c r="F464" s="27" t="s">
        <v>71</v>
      </c>
      <c r="G464" s="28">
        <f>91789</f>
        <v>91789</v>
      </c>
      <c r="H464" s="28">
        <f>91789</f>
        <v>91789</v>
      </c>
      <c r="I464" s="28">
        <f>91789</f>
        <v>91789</v>
      </c>
      <c r="J464" s="21"/>
      <c r="K464" s="21"/>
      <c r="L464" s="21"/>
      <c r="M464" s="21"/>
      <c r="N464" s="21"/>
      <c r="O464" s="21"/>
      <c r="P464" s="21"/>
    </row>
    <row r="465" spans="1:16" ht="114.75" x14ac:dyDescent="0.2">
      <c r="A465" s="18" t="s">
        <v>384</v>
      </c>
      <c r="B465" s="22">
        <v>915</v>
      </c>
      <c r="C465" s="19" t="s">
        <v>52</v>
      </c>
      <c r="D465" s="19" t="s">
        <v>16</v>
      </c>
      <c r="E465" s="19" t="s">
        <v>126</v>
      </c>
      <c r="F465" s="19"/>
      <c r="G465" s="20">
        <f>G466</f>
        <v>1.2</v>
      </c>
      <c r="H465" s="20">
        <f>H466</f>
        <v>1.2</v>
      </c>
      <c r="I465" s="20">
        <f>I466</f>
        <v>1.2</v>
      </c>
      <c r="J465" s="29"/>
      <c r="K465" s="29"/>
      <c r="L465" s="29"/>
      <c r="M465" s="29"/>
      <c r="N465" s="29"/>
      <c r="O465" s="29"/>
      <c r="P465" s="29"/>
    </row>
    <row r="466" spans="1:16" s="29" customFormat="1" x14ac:dyDescent="0.2">
      <c r="A466" s="31" t="s">
        <v>70</v>
      </c>
      <c r="B466" s="35">
        <v>915</v>
      </c>
      <c r="C466" s="27" t="s">
        <v>52</v>
      </c>
      <c r="D466" s="27" t="s">
        <v>16</v>
      </c>
      <c r="E466" s="27" t="s">
        <v>126</v>
      </c>
      <c r="F466" s="27" t="s">
        <v>71</v>
      </c>
      <c r="G466" s="28">
        <f>1.2</f>
        <v>1.2</v>
      </c>
      <c r="H466" s="28">
        <v>1.2</v>
      </c>
      <c r="I466" s="28">
        <v>1.2</v>
      </c>
    </row>
    <row r="467" spans="1:16" ht="76.5" x14ac:dyDescent="0.2">
      <c r="A467" s="18" t="s">
        <v>385</v>
      </c>
      <c r="B467" s="22">
        <v>915</v>
      </c>
      <c r="C467" s="19" t="s">
        <v>52</v>
      </c>
      <c r="D467" s="19" t="s">
        <v>16</v>
      </c>
      <c r="E467" s="19" t="s">
        <v>132</v>
      </c>
      <c r="F467" s="19"/>
      <c r="G467" s="20">
        <f>G468</f>
        <v>34</v>
      </c>
      <c r="H467" s="20">
        <f>H468</f>
        <v>34</v>
      </c>
      <c r="I467" s="20">
        <f>I468</f>
        <v>34</v>
      </c>
    </row>
    <row r="468" spans="1:16" s="29" customFormat="1" ht="63.75" x14ac:dyDescent="0.2">
      <c r="A468" s="34" t="s">
        <v>67</v>
      </c>
      <c r="B468" s="35">
        <v>915</v>
      </c>
      <c r="C468" s="27" t="s">
        <v>52</v>
      </c>
      <c r="D468" s="27" t="s">
        <v>16</v>
      </c>
      <c r="E468" s="27" t="s">
        <v>132</v>
      </c>
      <c r="F468" s="27" t="s">
        <v>68</v>
      </c>
      <c r="G468" s="28">
        <f>34</f>
        <v>34</v>
      </c>
      <c r="H468" s="28">
        <f>34</f>
        <v>34</v>
      </c>
      <c r="I468" s="28">
        <f>34</f>
        <v>34</v>
      </c>
    </row>
    <row r="469" spans="1:16" ht="63.75" x14ac:dyDescent="0.2">
      <c r="A469" s="18" t="s">
        <v>386</v>
      </c>
      <c r="B469" s="22">
        <v>915</v>
      </c>
      <c r="C469" s="19" t="s">
        <v>52</v>
      </c>
      <c r="D469" s="19" t="s">
        <v>16</v>
      </c>
      <c r="E469" s="19" t="s">
        <v>123</v>
      </c>
      <c r="F469" s="19"/>
      <c r="G469" s="20">
        <f>G471+G470</f>
        <v>3440</v>
      </c>
      <c r="H469" s="20">
        <f>H471+H470</f>
        <v>3440</v>
      </c>
      <c r="I469" s="20">
        <f>I471+I470</f>
        <v>3440</v>
      </c>
      <c r="O469" s="29"/>
      <c r="P469" s="29"/>
    </row>
    <row r="470" spans="1:16" s="29" customFormat="1" ht="25.5" x14ac:dyDescent="0.2">
      <c r="A470" s="31" t="s">
        <v>77</v>
      </c>
      <c r="B470" s="26">
        <v>915</v>
      </c>
      <c r="C470" s="27" t="s">
        <v>52</v>
      </c>
      <c r="D470" s="27" t="s">
        <v>16</v>
      </c>
      <c r="E470" s="27" t="s">
        <v>123</v>
      </c>
      <c r="F470" s="30" t="s">
        <v>69</v>
      </c>
      <c r="G470" s="28">
        <v>2</v>
      </c>
      <c r="H470" s="28">
        <v>2</v>
      </c>
      <c r="I470" s="28">
        <v>2</v>
      </c>
      <c r="J470" s="21"/>
      <c r="K470" s="21"/>
      <c r="L470" s="21"/>
      <c r="M470" s="21"/>
      <c r="N470" s="21"/>
      <c r="O470" s="21"/>
      <c r="P470" s="21"/>
    </row>
    <row r="471" spans="1:16" s="29" customFormat="1" x14ac:dyDescent="0.2">
      <c r="A471" s="31" t="s">
        <v>70</v>
      </c>
      <c r="B471" s="35">
        <v>915</v>
      </c>
      <c r="C471" s="27" t="s">
        <v>52</v>
      </c>
      <c r="D471" s="27" t="s">
        <v>16</v>
      </c>
      <c r="E471" s="27" t="s">
        <v>123</v>
      </c>
      <c r="F471" s="27" t="s">
        <v>71</v>
      </c>
      <c r="G471" s="28">
        <v>3438</v>
      </c>
      <c r="H471" s="28">
        <v>3438</v>
      </c>
      <c r="I471" s="28">
        <v>3438</v>
      </c>
    </row>
    <row r="472" spans="1:16" ht="38.25" x14ac:dyDescent="0.2">
      <c r="A472" s="18" t="s">
        <v>387</v>
      </c>
      <c r="B472" s="22">
        <v>915</v>
      </c>
      <c r="C472" s="19" t="s">
        <v>52</v>
      </c>
      <c r="D472" s="19" t="s">
        <v>16</v>
      </c>
      <c r="E472" s="19" t="s">
        <v>129</v>
      </c>
      <c r="F472" s="19"/>
      <c r="G472" s="20">
        <f>G474+G473</f>
        <v>23947</v>
      </c>
      <c r="H472" s="20">
        <f>H474+H473</f>
        <v>23651</v>
      </c>
      <c r="I472" s="20">
        <f>I474+I473</f>
        <v>23355</v>
      </c>
      <c r="J472" s="29"/>
      <c r="K472" s="29"/>
      <c r="L472" s="29"/>
      <c r="M472" s="29"/>
      <c r="N472" s="29"/>
      <c r="O472" s="29"/>
      <c r="P472" s="29"/>
    </row>
    <row r="473" spans="1:16" s="29" customFormat="1" ht="25.5" x14ac:dyDescent="0.2">
      <c r="A473" s="31" t="s">
        <v>77</v>
      </c>
      <c r="B473" s="26">
        <v>915</v>
      </c>
      <c r="C473" s="27" t="s">
        <v>52</v>
      </c>
      <c r="D473" s="27" t="s">
        <v>16</v>
      </c>
      <c r="E473" s="27" t="s">
        <v>129</v>
      </c>
      <c r="F473" s="30" t="s">
        <v>69</v>
      </c>
      <c r="G473" s="28">
        <f>315+45</f>
        <v>360</v>
      </c>
      <c r="H473" s="28">
        <f>315+45</f>
        <v>360</v>
      </c>
      <c r="I473" s="28">
        <f>315+45</f>
        <v>360</v>
      </c>
      <c r="J473" s="21"/>
      <c r="K473" s="21"/>
      <c r="L473" s="21"/>
      <c r="M473" s="21"/>
      <c r="N473" s="21"/>
      <c r="O473" s="21"/>
      <c r="P473" s="21"/>
    </row>
    <row r="474" spans="1:16" s="29" customFormat="1" x14ac:dyDescent="0.2">
      <c r="A474" s="31" t="s">
        <v>70</v>
      </c>
      <c r="B474" s="35">
        <v>915</v>
      </c>
      <c r="C474" s="27" t="s">
        <v>52</v>
      </c>
      <c r="D474" s="27" t="s">
        <v>16</v>
      </c>
      <c r="E474" s="27" t="s">
        <v>129</v>
      </c>
      <c r="F474" s="27" t="s">
        <v>71</v>
      </c>
      <c r="G474" s="28">
        <f>23587</f>
        <v>23587</v>
      </c>
      <c r="H474" s="28">
        <f>23291</f>
        <v>23291</v>
      </c>
      <c r="I474" s="28">
        <f>22995</f>
        <v>22995</v>
      </c>
    </row>
    <row r="475" spans="1:16" ht="51" x14ac:dyDescent="0.2">
      <c r="A475" s="18" t="s">
        <v>388</v>
      </c>
      <c r="B475" s="22">
        <v>915</v>
      </c>
      <c r="C475" s="19" t="s">
        <v>52</v>
      </c>
      <c r="D475" s="19" t="s">
        <v>16</v>
      </c>
      <c r="E475" s="19" t="s">
        <v>124</v>
      </c>
      <c r="F475" s="19"/>
      <c r="G475" s="20">
        <f>G477+G476</f>
        <v>104</v>
      </c>
      <c r="H475" s="20">
        <f>H477+H476</f>
        <v>104</v>
      </c>
      <c r="I475" s="20">
        <f>I477+I476</f>
        <v>104</v>
      </c>
      <c r="O475" s="29"/>
      <c r="P475" s="29"/>
    </row>
    <row r="476" spans="1:16" s="29" customFormat="1" ht="25.5" x14ac:dyDescent="0.2">
      <c r="A476" s="31" t="s">
        <v>77</v>
      </c>
      <c r="B476" s="26">
        <v>915</v>
      </c>
      <c r="C476" s="27" t="s">
        <v>52</v>
      </c>
      <c r="D476" s="27" t="s">
        <v>16</v>
      </c>
      <c r="E476" s="27" t="s">
        <v>124</v>
      </c>
      <c r="F476" s="30" t="s">
        <v>69</v>
      </c>
      <c r="G476" s="28">
        <f>1.3+0.3</f>
        <v>1.6</v>
      </c>
      <c r="H476" s="28">
        <f>1.3+0.3</f>
        <v>1.6</v>
      </c>
      <c r="I476" s="28">
        <f>1.3+0.3</f>
        <v>1.6</v>
      </c>
      <c r="J476" s="21"/>
      <c r="K476" s="21"/>
      <c r="L476" s="21"/>
      <c r="M476" s="21"/>
      <c r="N476" s="21"/>
      <c r="O476" s="21"/>
      <c r="P476" s="21"/>
    </row>
    <row r="477" spans="1:16" s="29" customFormat="1" x14ac:dyDescent="0.2">
      <c r="A477" s="31" t="s">
        <v>70</v>
      </c>
      <c r="B477" s="35">
        <v>915</v>
      </c>
      <c r="C477" s="27" t="s">
        <v>52</v>
      </c>
      <c r="D477" s="27" t="s">
        <v>16</v>
      </c>
      <c r="E477" s="27" t="s">
        <v>124</v>
      </c>
      <c r="F477" s="27" t="s">
        <v>71</v>
      </c>
      <c r="G477" s="28">
        <f>102.4</f>
        <v>102.4</v>
      </c>
      <c r="H477" s="28">
        <f>102.4</f>
        <v>102.4</v>
      </c>
      <c r="I477" s="28">
        <f>102.4</f>
        <v>102.4</v>
      </c>
    </row>
    <row r="478" spans="1:16" ht="76.5" x14ac:dyDescent="0.2">
      <c r="A478" s="18" t="s">
        <v>389</v>
      </c>
      <c r="B478" s="22">
        <v>915</v>
      </c>
      <c r="C478" s="19" t="s">
        <v>52</v>
      </c>
      <c r="D478" s="19" t="s">
        <v>16</v>
      </c>
      <c r="E478" s="19" t="s">
        <v>127</v>
      </c>
      <c r="F478" s="19"/>
      <c r="G478" s="20">
        <f>G480+G479</f>
        <v>857</v>
      </c>
      <c r="H478" s="20">
        <f>H480+H479</f>
        <v>857</v>
      </c>
      <c r="I478" s="20">
        <f>I480+I479</f>
        <v>857</v>
      </c>
      <c r="O478" s="29"/>
      <c r="P478" s="29"/>
    </row>
    <row r="479" spans="1:16" s="29" customFormat="1" ht="25.5" x14ac:dyDescent="0.2">
      <c r="A479" s="31" t="s">
        <v>77</v>
      </c>
      <c r="B479" s="26">
        <v>915</v>
      </c>
      <c r="C479" s="27" t="s">
        <v>52</v>
      </c>
      <c r="D479" s="27" t="s">
        <v>16</v>
      </c>
      <c r="E479" s="27" t="s">
        <v>127</v>
      </c>
      <c r="F479" s="30" t="s">
        <v>69</v>
      </c>
      <c r="G479" s="28">
        <f>3.9</f>
        <v>3.9</v>
      </c>
      <c r="H479" s="28">
        <f>3.9</f>
        <v>3.9</v>
      </c>
      <c r="I479" s="28">
        <f>3.9</f>
        <v>3.9</v>
      </c>
      <c r="J479" s="21"/>
      <c r="K479" s="21"/>
      <c r="L479" s="21"/>
      <c r="M479" s="21"/>
      <c r="N479" s="21"/>
      <c r="O479" s="21"/>
      <c r="P479" s="21"/>
    </row>
    <row r="480" spans="1:16" s="29" customFormat="1" x14ac:dyDescent="0.2">
      <c r="A480" s="31" t="s">
        <v>70</v>
      </c>
      <c r="B480" s="35">
        <v>915</v>
      </c>
      <c r="C480" s="27" t="s">
        <v>52</v>
      </c>
      <c r="D480" s="27" t="s">
        <v>16</v>
      </c>
      <c r="E480" s="27" t="s">
        <v>127</v>
      </c>
      <c r="F480" s="27" t="s">
        <v>71</v>
      </c>
      <c r="G480" s="28">
        <f>853.1</f>
        <v>853.1</v>
      </c>
      <c r="H480" s="28">
        <f>853.1</f>
        <v>853.1</v>
      </c>
      <c r="I480" s="28">
        <f>853.1</f>
        <v>853.1</v>
      </c>
    </row>
    <row r="481" spans="1:16" ht="51" x14ac:dyDescent="0.2">
      <c r="A481" s="18" t="s">
        <v>390</v>
      </c>
      <c r="B481" s="22">
        <v>915</v>
      </c>
      <c r="C481" s="19" t="s">
        <v>52</v>
      </c>
      <c r="D481" s="19" t="s">
        <v>16</v>
      </c>
      <c r="E481" s="19" t="s">
        <v>128</v>
      </c>
      <c r="F481" s="19"/>
      <c r="G481" s="20">
        <f>G483+G482</f>
        <v>284</v>
      </c>
      <c r="H481" s="20">
        <f>H483+H482</f>
        <v>284</v>
      </c>
      <c r="I481" s="20">
        <f>I483+I482</f>
        <v>284</v>
      </c>
      <c r="O481" s="29"/>
      <c r="P481" s="29"/>
    </row>
    <row r="482" spans="1:16" s="29" customFormat="1" ht="25.5" x14ac:dyDescent="0.2">
      <c r="A482" s="31" t="s">
        <v>77</v>
      </c>
      <c r="B482" s="26">
        <v>915</v>
      </c>
      <c r="C482" s="27" t="s">
        <v>52</v>
      </c>
      <c r="D482" s="27" t="s">
        <v>16</v>
      </c>
      <c r="E482" s="27" t="s">
        <v>128</v>
      </c>
      <c r="F482" s="30" t="s">
        <v>69</v>
      </c>
      <c r="G482" s="28">
        <f>5.3+0.4</f>
        <v>5.7</v>
      </c>
      <c r="H482" s="28">
        <f>5.3+0.4</f>
        <v>5.7</v>
      </c>
      <c r="I482" s="28">
        <f>5.3+0.4</f>
        <v>5.7</v>
      </c>
      <c r="J482" s="21"/>
      <c r="K482" s="21"/>
      <c r="L482" s="21"/>
      <c r="M482" s="21"/>
      <c r="N482" s="21"/>
      <c r="O482" s="21"/>
      <c r="P482" s="21"/>
    </row>
    <row r="483" spans="1:16" s="29" customFormat="1" x14ac:dyDescent="0.2">
      <c r="A483" s="31" t="s">
        <v>70</v>
      </c>
      <c r="B483" s="35">
        <v>915</v>
      </c>
      <c r="C483" s="27" t="s">
        <v>52</v>
      </c>
      <c r="D483" s="27" t="s">
        <v>16</v>
      </c>
      <c r="E483" s="27" t="s">
        <v>128</v>
      </c>
      <c r="F483" s="27" t="s">
        <v>71</v>
      </c>
      <c r="G483" s="28">
        <f>278.3</f>
        <v>278.3</v>
      </c>
      <c r="H483" s="28">
        <f>278.3</f>
        <v>278.3</v>
      </c>
      <c r="I483" s="28">
        <f>278.3</f>
        <v>278.3</v>
      </c>
    </row>
    <row r="484" spans="1:16" ht="102" x14ac:dyDescent="0.2">
      <c r="A484" s="18" t="s">
        <v>391</v>
      </c>
      <c r="B484" s="22">
        <v>915</v>
      </c>
      <c r="C484" s="19" t="s">
        <v>52</v>
      </c>
      <c r="D484" s="19" t="s">
        <v>16</v>
      </c>
      <c r="E484" s="19" t="s">
        <v>130</v>
      </c>
      <c r="F484" s="19"/>
      <c r="G484" s="20">
        <f>G486+G485</f>
        <v>87263</v>
      </c>
      <c r="H484" s="20">
        <f>H486+H485</f>
        <v>87263</v>
      </c>
      <c r="I484" s="20">
        <f>I486+I485</f>
        <v>87263</v>
      </c>
      <c r="O484" s="29"/>
      <c r="P484" s="29"/>
    </row>
    <row r="485" spans="1:16" s="29" customFormat="1" ht="25.5" x14ac:dyDescent="0.2">
      <c r="A485" s="31" t="s">
        <v>77</v>
      </c>
      <c r="B485" s="26">
        <v>915</v>
      </c>
      <c r="C485" s="27" t="s">
        <v>52</v>
      </c>
      <c r="D485" s="27" t="s">
        <v>16</v>
      </c>
      <c r="E485" s="27" t="s">
        <v>130</v>
      </c>
      <c r="F485" s="30" t="s">
        <v>69</v>
      </c>
      <c r="G485" s="28">
        <f>317+162+115+35+55+22+125+46+1+1.5</f>
        <v>879.5</v>
      </c>
      <c r="H485" s="28">
        <f>317+162+115+35+55+22+125+46+1+1.5</f>
        <v>879.5</v>
      </c>
      <c r="I485" s="28">
        <f>317+162+115+35+55+22+125+46+1+1.5</f>
        <v>879.5</v>
      </c>
      <c r="J485" s="9"/>
      <c r="K485" s="9"/>
      <c r="L485" s="9"/>
      <c r="M485" s="9"/>
      <c r="N485" s="9"/>
      <c r="O485" s="9"/>
      <c r="P485" s="9"/>
    </row>
    <row r="486" spans="1:16" s="29" customFormat="1" x14ac:dyDescent="0.2">
      <c r="A486" s="31" t="s">
        <v>70</v>
      </c>
      <c r="B486" s="35">
        <v>915</v>
      </c>
      <c r="C486" s="27" t="s">
        <v>52</v>
      </c>
      <c r="D486" s="27" t="s">
        <v>16</v>
      </c>
      <c r="E486" s="27" t="s">
        <v>130</v>
      </c>
      <c r="F486" s="27" t="s">
        <v>71</v>
      </c>
      <c r="G486" s="28">
        <f>49601.5+12870+7200+16500+212</f>
        <v>86383.5</v>
      </c>
      <c r="H486" s="28">
        <f>49601.5+12870+7200+16500+212</f>
        <v>86383.5</v>
      </c>
      <c r="I486" s="28">
        <f>49601.5+12870+7200+16500+212</f>
        <v>86383.5</v>
      </c>
      <c r="J486" s="21"/>
      <c r="K486" s="21"/>
      <c r="L486" s="21"/>
      <c r="M486" s="21"/>
      <c r="N486" s="21"/>
      <c r="O486" s="21"/>
      <c r="P486" s="21"/>
    </row>
    <row r="487" spans="1:16" ht="63.75" x14ac:dyDescent="0.2">
      <c r="A487" s="18" t="s">
        <v>392</v>
      </c>
      <c r="B487" s="22">
        <v>915</v>
      </c>
      <c r="C487" s="19" t="s">
        <v>52</v>
      </c>
      <c r="D487" s="19" t="s">
        <v>16</v>
      </c>
      <c r="E487" s="19" t="s">
        <v>104</v>
      </c>
      <c r="F487" s="19"/>
      <c r="G487" s="20">
        <f>G489+G488</f>
        <v>1132</v>
      </c>
      <c r="H487" s="20">
        <f>H489+H488</f>
        <v>1132</v>
      </c>
      <c r="I487" s="20">
        <f>I489+I488</f>
        <v>1132</v>
      </c>
      <c r="O487" s="29"/>
      <c r="P487" s="29"/>
    </row>
    <row r="488" spans="1:16" s="29" customFormat="1" ht="25.5" x14ac:dyDescent="0.2">
      <c r="A488" s="31" t="s">
        <v>77</v>
      </c>
      <c r="B488" s="26">
        <v>915</v>
      </c>
      <c r="C488" s="27" t="s">
        <v>52</v>
      </c>
      <c r="D488" s="27" t="s">
        <v>16</v>
      </c>
      <c r="E488" s="27" t="s">
        <v>104</v>
      </c>
      <c r="F488" s="30" t="s">
        <v>69</v>
      </c>
      <c r="G488" s="28">
        <f>23</f>
        <v>23</v>
      </c>
      <c r="H488" s="28">
        <f>23</f>
        <v>23</v>
      </c>
      <c r="I488" s="28">
        <f>23</f>
        <v>23</v>
      </c>
      <c r="J488" s="21"/>
      <c r="K488" s="21"/>
      <c r="L488" s="21"/>
      <c r="M488" s="21"/>
      <c r="N488" s="21"/>
      <c r="O488" s="21"/>
      <c r="P488" s="21"/>
    </row>
    <row r="489" spans="1:16" s="29" customFormat="1" x14ac:dyDescent="0.2">
      <c r="A489" s="31" t="s">
        <v>70</v>
      </c>
      <c r="B489" s="35">
        <v>915</v>
      </c>
      <c r="C489" s="27" t="s">
        <v>52</v>
      </c>
      <c r="D489" s="27" t="s">
        <v>16</v>
      </c>
      <c r="E489" s="27" t="s">
        <v>104</v>
      </c>
      <c r="F489" s="27" t="s">
        <v>71</v>
      </c>
      <c r="G489" s="28">
        <f>1109</f>
        <v>1109</v>
      </c>
      <c r="H489" s="28">
        <f>1109</f>
        <v>1109</v>
      </c>
      <c r="I489" s="28">
        <f>1109</f>
        <v>1109</v>
      </c>
    </row>
    <row r="490" spans="1:16" s="9" customFormat="1" x14ac:dyDescent="0.2">
      <c r="A490" s="11" t="s">
        <v>57</v>
      </c>
      <c r="B490" s="14">
        <v>915</v>
      </c>
      <c r="C490" s="8" t="s">
        <v>52</v>
      </c>
      <c r="D490" s="8" t="s">
        <v>18</v>
      </c>
      <c r="E490" s="8"/>
      <c r="F490" s="8"/>
      <c r="G490" s="4">
        <f>G491+G496+G499+G493</f>
        <v>116267</v>
      </c>
      <c r="H490" s="4">
        <f>H491+H496+H499+H493</f>
        <v>116950</v>
      </c>
      <c r="I490" s="4">
        <f>I491+I496+I499+I493</f>
        <v>112735</v>
      </c>
      <c r="J490" s="21"/>
      <c r="K490" s="21"/>
      <c r="L490" s="21"/>
      <c r="M490" s="21"/>
      <c r="N490" s="21"/>
      <c r="O490" s="21"/>
      <c r="P490" s="21"/>
    </row>
    <row r="491" spans="1:16" ht="89.25" x14ac:dyDescent="0.2">
      <c r="A491" s="18" t="s">
        <v>393</v>
      </c>
      <c r="B491" s="22">
        <v>915</v>
      </c>
      <c r="C491" s="19" t="s">
        <v>52</v>
      </c>
      <c r="D491" s="19" t="s">
        <v>18</v>
      </c>
      <c r="E491" s="19" t="s">
        <v>114</v>
      </c>
      <c r="F491" s="19"/>
      <c r="G491" s="20">
        <f>G492</f>
        <v>736</v>
      </c>
      <c r="H491" s="20">
        <f>H492</f>
        <v>770</v>
      </c>
      <c r="I491" s="20">
        <f>I492</f>
        <v>801</v>
      </c>
      <c r="J491" s="9"/>
      <c r="K491" s="9"/>
      <c r="L491" s="9"/>
      <c r="M491" s="9"/>
      <c r="N491" s="9"/>
      <c r="O491" s="9"/>
      <c r="P491" s="9"/>
    </row>
    <row r="492" spans="1:16" s="29" customFormat="1" x14ac:dyDescent="0.2">
      <c r="A492" s="31" t="s">
        <v>70</v>
      </c>
      <c r="B492" s="35">
        <v>915</v>
      </c>
      <c r="C492" s="27" t="s">
        <v>52</v>
      </c>
      <c r="D492" s="27" t="s">
        <v>18</v>
      </c>
      <c r="E492" s="27" t="s">
        <v>114</v>
      </c>
      <c r="F492" s="27" t="s">
        <v>71</v>
      </c>
      <c r="G492" s="28">
        <f>736</f>
        <v>736</v>
      </c>
      <c r="H492" s="28">
        <f>770</f>
        <v>770</v>
      </c>
      <c r="I492" s="28">
        <f>801</f>
        <v>801</v>
      </c>
      <c r="J492" s="21"/>
      <c r="K492" s="21"/>
      <c r="L492" s="21"/>
      <c r="M492" s="21"/>
      <c r="N492" s="21"/>
      <c r="O492" s="21"/>
      <c r="P492" s="21"/>
    </row>
    <row r="493" spans="1:16" ht="102" x14ac:dyDescent="0.2">
      <c r="A493" s="18" t="s">
        <v>394</v>
      </c>
      <c r="B493" s="22">
        <v>915</v>
      </c>
      <c r="C493" s="19" t="s">
        <v>52</v>
      </c>
      <c r="D493" s="19" t="s">
        <v>18</v>
      </c>
      <c r="E493" s="19" t="s">
        <v>118</v>
      </c>
      <c r="F493" s="19"/>
      <c r="G493" s="20">
        <f>G495+G494</f>
        <v>54334</v>
      </c>
      <c r="H493" s="20">
        <f>H495+H494</f>
        <v>54589</v>
      </c>
      <c r="I493" s="20">
        <f>I495+I494</f>
        <v>54439</v>
      </c>
      <c r="O493" s="29"/>
      <c r="P493" s="29"/>
    </row>
    <row r="494" spans="1:16" s="29" customFormat="1" ht="25.5" x14ac:dyDescent="0.2">
      <c r="A494" s="31" t="s">
        <v>77</v>
      </c>
      <c r="B494" s="26">
        <v>915</v>
      </c>
      <c r="C494" s="27" t="s">
        <v>52</v>
      </c>
      <c r="D494" s="27" t="s">
        <v>18</v>
      </c>
      <c r="E494" s="19" t="s">
        <v>118</v>
      </c>
      <c r="F494" s="30" t="s">
        <v>69</v>
      </c>
      <c r="G494" s="28">
        <v>2</v>
      </c>
      <c r="H494" s="28">
        <v>2</v>
      </c>
      <c r="I494" s="28">
        <v>2</v>
      </c>
      <c r="J494" s="21"/>
      <c r="K494" s="21"/>
      <c r="L494" s="21"/>
      <c r="M494" s="21"/>
      <c r="N494" s="21"/>
      <c r="O494" s="21"/>
      <c r="P494" s="21"/>
    </row>
    <row r="495" spans="1:16" s="29" customFormat="1" x14ac:dyDescent="0.2">
      <c r="A495" s="31" t="s">
        <v>70</v>
      </c>
      <c r="B495" s="35">
        <v>915</v>
      </c>
      <c r="C495" s="27" t="s">
        <v>52</v>
      </c>
      <c r="D495" s="27" t="s">
        <v>18</v>
      </c>
      <c r="E495" s="19" t="s">
        <v>118</v>
      </c>
      <c r="F495" s="27" t="s">
        <v>71</v>
      </c>
      <c r="G495" s="28">
        <f>54332</f>
        <v>54332</v>
      </c>
      <c r="H495" s="28">
        <f>54587</f>
        <v>54587</v>
      </c>
      <c r="I495" s="28">
        <f>54437</f>
        <v>54437</v>
      </c>
    </row>
    <row r="496" spans="1:16" ht="79.5" customHeight="1" x14ac:dyDescent="0.2">
      <c r="A496" s="68" t="s">
        <v>395</v>
      </c>
      <c r="B496" s="58">
        <v>915</v>
      </c>
      <c r="C496" s="19" t="s">
        <v>52</v>
      </c>
      <c r="D496" s="19" t="s">
        <v>18</v>
      </c>
      <c r="E496" s="19" t="s">
        <v>148</v>
      </c>
      <c r="F496" s="19"/>
      <c r="G496" s="20">
        <f>G498+G497</f>
        <v>30904</v>
      </c>
      <c r="H496" s="20">
        <f>H498+H497</f>
        <v>31298</v>
      </c>
      <c r="I496" s="20">
        <f>I498+I497</f>
        <v>27202</v>
      </c>
    </row>
    <row r="497" spans="1:16" s="29" customFormat="1" ht="25.5" x14ac:dyDescent="0.2">
      <c r="A497" s="31" t="s">
        <v>77</v>
      </c>
      <c r="B497" s="26">
        <v>915</v>
      </c>
      <c r="C497" s="27" t="s">
        <v>52</v>
      </c>
      <c r="D497" s="27" t="s">
        <v>18</v>
      </c>
      <c r="E497" s="27" t="s">
        <v>148</v>
      </c>
      <c r="F497" s="30" t="s">
        <v>69</v>
      </c>
      <c r="G497" s="28">
        <f>155</f>
        <v>155</v>
      </c>
      <c r="H497" s="28">
        <f>157</f>
        <v>157</v>
      </c>
      <c r="I497" s="28">
        <f>136</f>
        <v>136</v>
      </c>
      <c r="J497" s="21"/>
      <c r="K497" s="21"/>
      <c r="L497" s="21"/>
      <c r="M497" s="21"/>
      <c r="N497" s="21"/>
    </row>
    <row r="498" spans="1:16" x14ac:dyDescent="0.2">
      <c r="A498" s="31" t="s">
        <v>70</v>
      </c>
      <c r="B498" s="22">
        <v>915</v>
      </c>
      <c r="C498" s="27" t="s">
        <v>52</v>
      </c>
      <c r="D498" s="27" t="s">
        <v>18</v>
      </c>
      <c r="E498" s="27" t="s">
        <v>148</v>
      </c>
      <c r="F498" s="27" t="s">
        <v>71</v>
      </c>
      <c r="G498" s="28">
        <f>30749</f>
        <v>30749</v>
      </c>
      <c r="H498" s="28">
        <f>31141</f>
        <v>31141</v>
      </c>
      <c r="I498" s="28">
        <f>27066</f>
        <v>27066</v>
      </c>
    </row>
    <row r="499" spans="1:16" ht="51" x14ac:dyDescent="0.2">
      <c r="A499" s="18" t="s">
        <v>396</v>
      </c>
      <c r="B499" s="22">
        <v>915</v>
      </c>
      <c r="C499" s="19" t="s">
        <v>52</v>
      </c>
      <c r="D499" s="19" t="s">
        <v>18</v>
      </c>
      <c r="E499" s="19" t="s">
        <v>120</v>
      </c>
      <c r="F499" s="19"/>
      <c r="G499" s="20">
        <f>G501+G500</f>
        <v>30293</v>
      </c>
      <c r="H499" s="20">
        <f>H501+H500</f>
        <v>30293</v>
      </c>
      <c r="I499" s="20">
        <f>I501+I500</f>
        <v>30293</v>
      </c>
      <c r="O499" s="29"/>
      <c r="P499" s="29"/>
    </row>
    <row r="500" spans="1:16" s="29" customFormat="1" ht="25.5" x14ac:dyDescent="0.2">
      <c r="A500" s="31" t="s">
        <v>77</v>
      </c>
      <c r="B500" s="26">
        <v>915</v>
      </c>
      <c r="C500" s="27" t="s">
        <v>52</v>
      </c>
      <c r="D500" s="27" t="s">
        <v>18</v>
      </c>
      <c r="E500" s="27" t="s">
        <v>120</v>
      </c>
      <c r="F500" s="30" t="s">
        <v>69</v>
      </c>
      <c r="G500" s="28">
        <f>1</f>
        <v>1</v>
      </c>
      <c r="H500" s="28">
        <f>1</f>
        <v>1</v>
      </c>
      <c r="I500" s="28">
        <f>1</f>
        <v>1</v>
      </c>
      <c r="J500" s="21"/>
      <c r="K500" s="85"/>
      <c r="L500" s="85"/>
      <c r="M500" s="85"/>
      <c r="N500" s="21"/>
      <c r="O500" s="21"/>
      <c r="P500" s="21"/>
    </row>
    <row r="501" spans="1:16" s="29" customFormat="1" x14ac:dyDescent="0.2">
      <c r="A501" s="31" t="s">
        <v>70</v>
      </c>
      <c r="B501" s="35">
        <v>915</v>
      </c>
      <c r="C501" s="27" t="s">
        <v>52</v>
      </c>
      <c r="D501" s="27" t="s">
        <v>18</v>
      </c>
      <c r="E501" s="27" t="s">
        <v>120</v>
      </c>
      <c r="F501" s="27" t="s">
        <v>71</v>
      </c>
      <c r="G501" s="28">
        <f>30292</f>
        <v>30292</v>
      </c>
      <c r="H501" s="28">
        <f>30292</f>
        <v>30292</v>
      </c>
      <c r="I501" s="28">
        <f>30292</f>
        <v>30292</v>
      </c>
      <c r="K501" s="85"/>
      <c r="L501" s="85"/>
      <c r="M501" s="85"/>
    </row>
    <row r="502" spans="1:16" s="9" customFormat="1" x14ac:dyDescent="0.2">
      <c r="A502" s="11" t="s">
        <v>58</v>
      </c>
      <c r="B502" s="14">
        <v>915</v>
      </c>
      <c r="C502" s="8" t="s">
        <v>52</v>
      </c>
      <c r="D502" s="8" t="s">
        <v>51</v>
      </c>
      <c r="E502" s="8"/>
      <c r="F502" s="8"/>
      <c r="G502" s="4">
        <f>G503+G506+G510+G508+G514</f>
        <v>20985.8</v>
      </c>
      <c r="H502" s="4">
        <f t="shared" ref="H502:I502" si="51">H503+H506+H510+H508+H514</f>
        <v>20917.8</v>
      </c>
      <c r="I502" s="4">
        <f t="shared" si="51"/>
        <v>20902.8</v>
      </c>
      <c r="J502" s="21"/>
      <c r="K502" s="21"/>
      <c r="L502" s="21"/>
      <c r="M502" s="21"/>
      <c r="N502" s="21"/>
      <c r="O502" s="29"/>
      <c r="P502" s="29"/>
    </row>
    <row r="503" spans="1:16" x14ac:dyDescent="0.2">
      <c r="A503" s="18" t="s">
        <v>397</v>
      </c>
      <c r="B503" s="22">
        <v>915</v>
      </c>
      <c r="C503" s="19" t="s">
        <v>52</v>
      </c>
      <c r="D503" s="19" t="s">
        <v>51</v>
      </c>
      <c r="E503" s="19" t="s">
        <v>398</v>
      </c>
      <c r="F503" s="19"/>
      <c r="G503" s="20">
        <f>G504+G505</f>
        <v>801.8</v>
      </c>
      <c r="H503" s="20">
        <f t="shared" ref="H503:I503" si="52">H504+H505</f>
        <v>801.8</v>
      </c>
      <c r="I503" s="20">
        <f t="shared" si="52"/>
        <v>801.8</v>
      </c>
    </row>
    <row r="504" spans="1:16" s="29" customFormat="1" ht="25.5" x14ac:dyDescent="0.2">
      <c r="A504" s="31" t="s">
        <v>77</v>
      </c>
      <c r="B504" s="35">
        <v>915</v>
      </c>
      <c r="C504" s="27" t="s">
        <v>52</v>
      </c>
      <c r="D504" s="27" t="s">
        <v>51</v>
      </c>
      <c r="E504" s="27" t="s">
        <v>398</v>
      </c>
      <c r="F504" s="27" t="s">
        <v>69</v>
      </c>
      <c r="G504" s="28">
        <v>574.5</v>
      </c>
      <c r="H504" s="28">
        <v>574.5</v>
      </c>
      <c r="I504" s="28">
        <v>574.5</v>
      </c>
      <c r="J504" s="21"/>
      <c r="N504" s="21"/>
    </row>
    <row r="505" spans="1:16" x14ac:dyDescent="0.2">
      <c r="A505" s="31" t="s">
        <v>70</v>
      </c>
      <c r="B505" s="26">
        <v>915</v>
      </c>
      <c r="C505" s="27" t="s">
        <v>52</v>
      </c>
      <c r="D505" s="27" t="s">
        <v>51</v>
      </c>
      <c r="E505" s="27" t="s">
        <v>398</v>
      </c>
      <c r="F505" s="30" t="s">
        <v>71</v>
      </c>
      <c r="G505" s="28">
        <v>227.3</v>
      </c>
      <c r="H505" s="28">
        <v>227.3</v>
      </c>
      <c r="I505" s="28">
        <v>227.3</v>
      </c>
      <c r="O505" s="29"/>
      <c r="P505" s="29"/>
    </row>
    <row r="506" spans="1:16" x14ac:dyDescent="0.2">
      <c r="A506" s="18" t="s">
        <v>399</v>
      </c>
      <c r="B506" s="22">
        <v>915</v>
      </c>
      <c r="C506" s="19" t="s">
        <v>52</v>
      </c>
      <c r="D506" s="19" t="s">
        <v>51</v>
      </c>
      <c r="E506" s="19" t="s">
        <v>400</v>
      </c>
      <c r="F506" s="19"/>
      <c r="G506" s="20">
        <f>G507</f>
        <v>816</v>
      </c>
      <c r="H506" s="20">
        <f>H507</f>
        <v>816</v>
      </c>
      <c r="I506" s="20">
        <f>I507</f>
        <v>816</v>
      </c>
      <c r="O506" s="29"/>
      <c r="P506" s="29"/>
    </row>
    <row r="507" spans="1:16" s="29" customFormat="1" ht="25.5" x14ac:dyDescent="0.2">
      <c r="A507" s="31" t="s">
        <v>169</v>
      </c>
      <c r="B507" s="35">
        <v>915</v>
      </c>
      <c r="C507" s="27" t="s">
        <v>52</v>
      </c>
      <c r="D507" s="27" t="s">
        <v>51</v>
      </c>
      <c r="E507" s="27" t="s">
        <v>400</v>
      </c>
      <c r="F507" s="27" t="s">
        <v>66</v>
      </c>
      <c r="G507" s="28">
        <v>816</v>
      </c>
      <c r="H507" s="28">
        <v>816</v>
      </c>
      <c r="I507" s="28">
        <v>816</v>
      </c>
      <c r="J507" s="9"/>
      <c r="K507" s="9"/>
      <c r="L507" s="9"/>
      <c r="M507" s="9"/>
      <c r="N507" s="9"/>
      <c r="O507" s="9"/>
      <c r="P507" s="9"/>
    </row>
    <row r="508" spans="1:16" x14ac:dyDescent="0.2">
      <c r="A508" s="18"/>
      <c r="B508" s="22">
        <v>915</v>
      </c>
      <c r="C508" s="19" t="s">
        <v>52</v>
      </c>
      <c r="D508" s="19" t="s">
        <v>51</v>
      </c>
      <c r="E508" s="19" t="s">
        <v>449</v>
      </c>
      <c r="F508" s="19"/>
      <c r="G508" s="20">
        <f>G509</f>
        <v>360</v>
      </c>
      <c r="H508" s="20">
        <f t="shared" ref="H508:I508" si="53">H509</f>
        <v>360</v>
      </c>
      <c r="I508" s="20">
        <f t="shared" si="53"/>
        <v>360</v>
      </c>
    </row>
    <row r="509" spans="1:16" s="29" customFormat="1" ht="25.5" x14ac:dyDescent="0.2">
      <c r="A509" s="31" t="s">
        <v>77</v>
      </c>
      <c r="B509" s="35">
        <v>915</v>
      </c>
      <c r="C509" s="27" t="s">
        <v>52</v>
      </c>
      <c r="D509" s="27" t="s">
        <v>51</v>
      </c>
      <c r="E509" s="27" t="s">
        <v>449</v>
      </c>
      <c r="F509" s="27" t="s">
        <v>69</v>
      </c>
      <c r="G509" s="28">
        <v>360</v>
      </c>
      <c r="H509" s="28">
        <v>360</v>
      </c>
      <c r="I509" s="28">
        <v>360</v>
      </c>
      <c r="J509" s="21"/>
      <c r="N509" s="21"/>
    </row>
    <row r="510" spans="1:16" ht="38.25" x14ac:dyDescent="0.2">
      <c r="A510" s="18" t="s">
        <v>401</v>
      </c>
      <c r="B510" s="22">
        <v>915</v>
      </c>
      <c r="C510" s="19" t="s">
        <v>52</v>
      </c>
      <c r="D510" s="19" t="s">
        <v>51</v>
      </c>
      <c r="E510" s="19" t="s">
        <v>112</v>
      </c>
      <c r="F510" s="19"/>
      <c r="G510" s="20">
        <f>G511+G512+G513</f>
        <v>18908</v>
      </c>
      <c r="H510" s="20">
        <f>H511+H512+H513</f>
        <v>18840</v>
      </c>
      <c r="I510" s="20">
        <f>I511+I512+I513</f>
        <v>18825</v>
      </c>
      <c r="J510" s="3"/>
      <c r="K510" s="3"/>
      <c r="L510" s="3"/>
      <c r="M510" s="3"/>
      <c r="N510" s="3"/>
      <c r="O510" s="3"/>
      <c r="P510" s="3"/>
    </row>
    <row r="511" spans="1:16" s="29" customFormat="1" ht="63.75" x14ac:dyDescent="0.2">
      <c r="A511" s="26" t="s">
        <v>67</v>
      </c>
      <c r="B511" s="35">
        <v>915</v>
      </c>
      <c r="C511" s="27" t="s">
        <v>52</v>
      </c>
      <c r="D511" s="27" t="s">
        <v>51</v>
      </c>
      <c r="E511" s="27" t="s">
        <v>112</v>
      </c>
      <c r="F511" s="30" t="s">
        <v>68</v>
      </c>
      <c r="G511" s="28">
        <f>13667+4127+4.7</f>
        <v>17798.7</v>
      </c>
      <c r="H511" s="28">
        <f>13667+4127+4.7</f>
        <v>17798.7</v>
      </c>
      <c r="I511" s="28">
        <f>13667+4127+4.7</f>
        <v>17798.7</v>
      </c>
      <c r="J511" s="9"/>
      <c r="K511" s="9"/>
      <c r="L511" s="9"/>
      <c r="M511" s="9"/>
      <c r="N511" s="9"/>
      <c r="O511" s="9"/>
      <c r="P511" s="9"/>
    </row>
    <row r="512" spans="1:16" s="29" customFormat="1" ht="25.5" x14ac:dyDescent="0.2">
      <c r="A512" s="31" t="s">
        <v>77</v>
      </c>
      <c r="B512" s="35">
        <v>915</v>
      </c>
      <c r="C512" s="27" t="s">
        <v>52</v>
      </c>
      <c r="D512" s="27" t="s">
        <v>51</v>
      </c>
      <c r="E512" s="27" t="s">
        <v>112</v>
      </c>
      <c r="F512" s="30" t="s">
        <v>69</v>
      </c>
      <c r="G512" s="28">
        <f>310.4+794.9</f>
        <v>1105.3</v>
      </c>
      <c r="H512" s="28">
        <f>310.4+726.9</f>
        <v>1037.3</v>
      </c>
      <c r="I512" s="28">
        <f>310.4+711.9</f>
        <v>1022.3</v>
      </c>
      <c r="J512" s="7"/>
      <c r="K512" s="7"/>
      <c r="L512" s="7"/>
      <c r="M512" s="7"/>
      <c r="N512" s="7"/>
      <c r="O512" s="7"/>
      <c r="P512" s="7"/>
    </row>
    <row r="513" spans="1:16" s="29" customFormat="1" x14ac:dyDescent="0.2">
      <c r="A513" s="31" t="s">
        <v>73</v>
      </c>
      <c r="B513" s="35">
        <v>915</v>
      </c>
      <c r="C513" s="27" t="s">
        <v>52</v>
      </c>
      <c r="D513" s="27" t="s">
        <v>51</v>
      </c>
      <c r="E513" s="27" t="s">
        <v>112</v>
      </c>
      <c r="F513" s="27" t="s">
        <v>74</v>
      </c>
      <c r="G513" s="28">
        <f>4</f>
        <v>4</v>
      </c>
      <c r="H513" s="28">
        <f>4</f>
        <v>4</v>
      </c>
      <c r="I513" s="28">
        <f>4</f>
        <v>4</v>
      </c>
      <c r="J513" s="21"/>
      <c r="K513" s="21"/>
      <c r="L513" s="21"/>
      <c r="M513" s="21"/>
      <c r="N513" s="21"/>
    </row>
    <row r="514" spans="1:16" x14ac:dyDescent="0.2">
      <c r="A514" s="18" t="s">
        <v>249</v>
      </c>
      <c r="B514" s="18">
        <v>915</v>
      </c>
      <c r="C514" s="19" t="s">
        <v>52</v>
      </c>
      <c r="D514" s="19" t="s">
        <v>51</v>
      </c>
      <c r="E514" s="16" t="s">
        <v>250</v>
      </c>
      <c r="F514" s="19"/>
      <c r="G514" s="4">
        <f>G515+G516</f>
        <v>100</v>
      </c>
      <c r="H514" s="4">
        <f t="shared" ref="H514:I514" si="54">H515+H516</f>
        <v>100</v>
      </c>
      <c r="I514" s="4">
        <f t="shared" si="54"/>
        <v>100</v>
      </c>
    </row>
    <row r="515" spans="1:16" ht="25.5" x14ac:dyDescent="0.2">
      <c r="A515" s="31" t="s">
        <v>77</v>
      </c>
      <c r="B515" s="18">
        <v>915</v>
      </c>
      <c r="C515" s="27" t="s">
        <v>52</v>
      </c>
      <c r="D515" s="27" t="s">
        <v>51</v>
      </c>
      <c r="E515" s="27" t="s">
        <v>250</v>
      </c>
      <c r="F515" s="27" t="s">
        <v>69</v>
      </c>
      <c r="G515" s="20">
        <v>0.5</v>
      </c>
      <c r="H515" s="20">
        <v>0.5</v>
      </c>
      <c r="I515" s="20">
        <v>0.5</v>
      </c>
    </row>
    <row r="516" spans="1:16" x14ac:dyDescent="0.2">
      <c r="A516" s="31" t="s">
        <v>70</v>
      </c>
      <c r="B516" s="18">
        <v>915</v>
      </c>
      <c r="C516" s="27" t="s">
        <v>52</v>
      </c>
      <c r="D516" s="27" t="s">
        <v>51</v>
      </c>
      <c r="E516" s="27" t="s">
        <v>250</v>
      </c>
      <c r="F516" s="27" t="s">
        <v>71</v>
      </c>
      <c r="G516" s="20">
        <v>99.5</v>
      </c>
      <c r="H516" s="20">
        <v>99.5</v>
      </c>
      <c r="I516" s="20">
        <v>99.5</v>
      </c>
    </row>
    <row r="517" spans="1:16" s="9" customFormat="1" x14ac:dyDescent="0.2">
      <c r="A517" s="48" t="s">
        <v>48</v>
      </c>
      <c r="B517" s="45">
        <v>855</v>
      </c>
      <c r="C517" s="49"/>
      <c r="D517" s="49"/>
      <c r="E517" s="49"/>
      <c r="F517" s="49"/>
      <c r="G517" s="47">
        <f>G518+G527</f>
        <v>7532.5000000000009</v>
      </c>
      <c r="H517" s="47">
        <f>H518+H527</f>
        <v>26035.399999999998</v>
      </c>
      <c r="I517" s="47">
        <f>I518+I527</f>
        <v>46117.2</v>
      </c>
    </row>
    <row r="518" spans="1:16" s="3" customFormat="1" x14ac:dyDescent="0.2">
      <c r="A518" s="13" t="s">
        <v>61</v>
      </c>
      <c r="B518" s="50">
        <v>855</v>
      </c>
      <c r="C518" s="1" t="s">
        <v>12</v>
      </c>
      <c r="D518" s="1"/>
      <c r="E518" s="1"/>
      <c r="F518" s="1"/>
      <c r="G518" s="2">
        <f>G519+G522</f>
        <v>7532.5000000000009</v>
      </c>
      <c r="H518" s="2">
        <f>H519+H522</f>
        <v>7582.7</v>
      </c>
      <c r="I518" s="2">
        <f>I519+I522</f>
        <v>7582.7</v>
      </c>
      <c r="J518" s="21"/>
      <c r="K518" s="21"/>
      <c r="L518" s="21"/>
      <c r="M518" s="21"/>
      <c r="N518" s="21"/>
      <c r="O518" s="21"/>
      <c r="P518" s="21"/>
    </row>
    <row r="519" spans="1:16" s="9" customFormat="1" x14ac:dyDescent="0.2">
      <c r="A519" s="11" t="s">
        <v>22</v>
      </c>
      <c r="B519" s="14">
        <v>855</v>
      </c>
      <c r="C519" s="8" t="s">
        <v>12</v>
      </c>
      <c r="D519" s="8" t="s">
        <v>21</v>
      </c>
      <c r="E519" s="8"/>
      <c r="F519" s="8"/>
      <c r="G519" s="4">
        <f t="shared" ref="G519:I520" si="55">G520</f>
        <v>1024.8</v>
      </c>
      <c r="H519" s="4">
        <f t="shared" si="55"/>
        <v>1024.8</v>
      </c>
      <c r="I519" s="4">
        <f t="shared" si="55"/>
        <v>1024.8</v>
      </c>
      <c r="J519" s="29"/>
      <c r="K519" s="29"/>
      <c r="L519" s="29"/>
      <c r="M519" s="29"/>
      <c r="N519" s="29"/>
      <c r="O519" s="29"/>
      <c r="P519" s="29"/>
    </row>
    <row r="520" spans="1:16" s="7" customFormat="1" x14ac:dyDescent="0.2">
      <c r="A520" s="18" t="s">
        <v>402</v>
      </c>
      <c r="B520" s="69">
        <v>855</v>
      </c>
      <c r="C520" s="63" t="s">
        <v>12</v>
      </c>
      <c r="D520" s="63" t="s">
        <v>21</v>
      </c>
      <c r="E520" s="19" t="s">
        <v>404</v>
      </c>
      <c r="F520" s="19"/>
      <c r="G520" s="20">
        <f t="shared" si="55"/>
        <v>1024.8</v>
      </c>
      <c r="H520" s="20">
        <f t="shared" si="55"/>
        <v>1024.8</v>
      </c>
      <c r="I520" s="20">
        <f t="shared" si="55"/>
        <v>1024.8</v>
      </c>
      <c r="J520" s="21"/>
      <c r="K520" s="21"/>
      <c r="L520" s="21"/>
      <c r="M520" s="21"/>
      <c r="N520" s="21"/>
      <c r="O520" s="21"/>
      <c r="P520" s="21"/>
    </row>
    <row r="521" spans="1:16" s="29" customFormat="1" x14ac:dyDescent="0.2">
      <c r="A521" s="31" t="s">
        <v>73</v>
      </c>
      <c r="B521" s="35">
        <v>855</v>
      </c>
      <c r="C521" s="27" t="s">
        <v>12</v>
      </c>
      <c r="D521" s="27" t="s">
        <v>21</v>
      </c>
      <c r="E521" s="27" t="s">
        <v>404</v>
      </c>
      <c r="F521" s="27" t="s">
        <v>74</v>
      </c>
      <c r="G521" s="28">
        <f>1024.8</f>
        <v>1024.8</v>
      </c>
      <c r="H521" s="28">
        <f t="shared" ref="H521:I521" si="56">1024.8</f>
        <v>1024.8</v>
      </c>
      <c r="I521" s="28">
        <f t="shared" si="56"/>
        <v>1024.8</v>
      </c>
      <c r="J521" s="21"/>
      <c r="K521" s="21"/>
      <c r="L521" s="21"/>
      <c r="M521" s="21"/>
      <c r="N521" s="21"/>
    </row>
    <row r="522" spans="1:16" s="9" customFormat="1" x14ac:dyDescent="0.2">
      <c r="A522" s="11" t="s">
        <v>24</v>
      </c>
      <c r="B522" s="14">
        <v>855</v>
      </c>
      <c r="C522" s="8" t="s">
        <v>12</v>
      </c>
      <c r="D522" s="8" t="s">
        <v>62</v>
      </c>
      <c r="E522" s="8"/>
      <c r="F522" s="8"/>
      <c r="G522" s="4">
        <f>G523+G525</f>
        <v>6507.7000000000007</v>
      </c>
      <c r="H522" s="4">
        <f>H523+H525</f>
        <v>6557.9</v>
      </c>
      <c r="I522" s="4">
        <f>I523+I525</f>
        <v>6557.9</v>
      </c>
      <c r="J522" s="21"/>
      <c r="K522" s="21"/>
      <c r="L522" s="21"/>
      <c r="M522" s="21"/>
      <c r="N522" s="21"/>
      <c r="O522" s="21"/>
      <c r="P522" s="21"/>
    </row>
    <row r="523" spans="1:16" x14ac:dyDescent="0.2">
      <c r="A523" s="18" t="s">
        <v>313</v>
      </c>
      <c r="B523" s="22">
        <v>855</v>
      </c>
      <c r="C523" s="19" t="s">
        <v>12</v>
      </c>
      <c r="D523" s="19" t="s">
        <v>62</v>
      </c>
      <c r="E523" s="19" t="s">
        <v>312</v>
      </c>
      <c r="F523" s="19"/>
      <c r="G523" s="20">
        <f>G524</f>
        <v>1596.9</v>
      </c>
      <c r="H523" s="20">
        <f>H524</f>
        <v>1647.2</v>
      </c>
      <c r="I523" s="20">
        <f>I524</f>
        <v>1647.2</v>
      </c>
    </row>
    <row r="524" spans="1:16" s="29" customFormat="1" x14ac:dyDescent="0.2">
      <c r="A524" s="31" t="s">
        <v>70</v>
      </c>
      <c r="B524" s="35">
        <v>855</v>
      </c>
      <c r="C524" s="27" t="s">
        <v>12</v>
      </c>
      <c r="D524" s="27" t="s">
        <v>62</v>
      </c>
      <c r="E524" s="27" t="s">
        <v>312</v>
      </c>
      <c r="F524" s="27" t="s">
        <v>71</v>
      </c>
      <c r="G524" s="28">
        <f>1596.9</f>
        <v>1596.9</v>
      </c>
      <c r="H524" s="28">
        <f>1647.2</f>
        <v>1647.2</v>
      </c>
      <c r="I524" s="28">
        <f>1647.2</f>
        <v>1647.2</v>
      </c>
      <c r="J524" s="21"/>
      <c r="K524" s="21"/>
      <c r="L524" s="21"/>
      <c r="M524" s="21"/>
      <c r="N524" s="21"/>
      <c r="O524" s="21"/>
      <c r="P524" s="21"/>
    </row>
    <row r="525" spans="1:16" x14ac:dyDescent="0.2">
      <c r="A525" s="18" t="s">
        <v>403</v>
      </c>
      <c r="B525" s="22">
        <v>855</v>
      </c>
      <c r="C525" s="19" t="s">
        <v>12</v>
      </c>
      <c r="D525" s="19" t="s">
        <v>62</v>
      </c>
      <c r="E525" s="19" t="s">
        <v>405</v>
      </c>
      <c r="F525" s="19"/>
      <c r="G525" s="20">
        <f>G526</f>
        <v>4910.8</v>
      </c>
      <c r="H525" s="20">
        <f>H526</f>
        <v>4910.7</v>
      </c>
      <c r="I525" s="20">
        <f>I526</f>
        <v>4910.7</v>
      </c>
      <c r="O525" s="29"/>
      <c r="P525" s="29"/>
    </row>
    <row r="526" spans="1:16" s="29" customFormat="1" x14ac:dyDescent="0.2">
      <c r="A526" s="31" t="s">
        <v>73</v>
      </c>
      <c r="B526" s="35">
        <v>855</v>
      </c>
      <c r="C526" s="27" t="s">
        <v>12</v>
      </c>
      <c r="D526" s="27" t="s">
        <v>62</v>
      </c>
      <c r="E526" s="27" t="s">
        <v>405</v>
      </c>
      <c r="F526" s="27" t="s">
        <v>74</v>
      </c>
      <c r="G526" s="28">
        <f>4910.7+0.1</f>
        <v>4910.8</v>
      </c>
      <c r="H526" s="28">
        <f t="shared" ref="H526:I526" si="57">4910.7</f>
        <v>4910.7</v>
      </c>
      <c r="I526" s="28">
        <f t="shared" si="57"/>
        <v>4910.7</v>
      </c>
      <c r="J526" s="9"/>
      <c r="K526" s="9"/>
      <c r="L526" s="9"/>
      <c r="M526" s="9"/>
      <c r="N526" s="9"/>
      <c r="O526" s="9"/>
      <c r="P526" s="9"/>
    </row>
    <row r="527" spans="1:16" x14ac:dyDescent="0.2">
      <c r="A527" s="18" t="s">
        <v>454</v>
      </c>
      <c r="B527" s="22">
        <v>855</v>
      </c>
      <c r="C527" s="19" t="s">
        <v>455</v>
      </c>
      <c r="D527" s="19"/>
      <c r="E527" s="19"/>
      <c r="F527" s="19"/>
      <c r="G527" s="20"/>
      <c r="H527" s="20">
        <f t="shared" ref="H527:I529" si="58">H528</f>
        <v>18452.699999999997</v>
      </c>
      <c r="I527" s="20">
        <f t="shared" si="58"/>
        <v>38534.5</v>
      </c>
    </row>
    <row r="528" spans="1:16" x14ac:dyDescent="0.2">
      <c r="A528" s="18" t="s">
        <v>454</v>
      </c>
      <c r="B528" s="22">
        <v>855</v>
      </c>
      <c r="C528" s="19" t="s">
        <v>455</v>
      </c>
      <c r="D528" s="16" t="s">
        <v>455</v>
      </c>
      <c r="E528" s="19"/>
      <c r="F528" s="19"/>
      <c r="G528" s="20"/>
      <c r="H528" s="20">
        <f t="shared" si="58"/>
        <v>18452.699999999997</v>
      </c>
      <c r="I528" s="20">
        <f t="shared" si="58"/>
        <v>38534.5</v>
      </c>
    </row>
    <row r="529" spans="1:16" x14ac:dyDescent="0.2">
      <c r="A529" s="18" t="s">
        <v>454</v>
      </c>
      <c r="B529" s="22">
        <v>855</v>
      </c>
      <c r="C529" s="19" t="s">
        <v>455</v>
      </c>
      <c r="D529" s="19" t="s">
        <v>455</v>
      </c>
      <c r="E529" s="19" t="s">
        <v>462</v>
      </c>
      <c r="F529" s="19"/>
      <c r="G529" s="20"/>
      <c r="H529" s="20">
        <f t="shared" si="58"/>
        <v>18452.699999999997</v>
      </c>
      <c r="I529" s="20">
        <f t="shared" si="58"/>
        <v>38534.5</v>
      </c>
    </row>
    <row r="530" spans="1:16" s="29" customFormat="1" x14ac:dyDescent="0.2">
      <c r="A530" s="31" t="s">
        <v>73</v>
      </c>
      <c r="B530" s="35">
        <v>855</v>
      </c>
      <c r="C530" s="27" t="s">
        <v>455</v>
      </c>
      <c r="D530" s="27" t="s">
        <v>455</v>
      </c>
      <c r="E530" s="27" t="s">
        <v>462</v>
      </c>
      <c r="F530" s="27" t="s">
        <v>74</v>
      </c>
      <c r="G530" s="28"/>
      <c r="H530" s="28">
        <f>18452.6+0.1</f>
        <v>18452.699999999997</v>
      </c>
      <c r="I530" s="28">
        <f>38534.4+0.1</f>
        <v>38534.5</v>
      </c>
      <c r="K530" s="21"/>
      <c r="L530" s="21"/>
      <c r="M530" s="21"/>
      <c r="N530" s="21"/>
      <c r="O530" s="21"/>
      <c r="P530" s="21"/>
    </row>
    <row r="531" spans="1:16" s="9" customFormat="1" ht="38.25" x14ac:dyDescent="0.2">
      <c r="A531" s="48" t="s">
        <v>49</v>
      </c>
      <c r="B531" s="45">
        <v>919</v>
      </c>
      <c r="C531" s="49"/>
      <c r="D531" s="49"/>
      <c r="E531" s="49"/>
      <c r="F531" s="49"/>
      <c r="G531" s="47">
        <f>G536+G547+G594+G532</f>
        <v>281508.70000000007</v>
      </c>
      <c r="H531" s="47">
        <f t="shared" ref="H531:I531" si="59">H536+H547+H594+H532</f>
        <v>207424.8</v>
      </c>
      <c r="I531" s="47">
        <f t="shared" si="59"/>
        <v>215415.9</v>
      </c>
    </row>
    <row r="532" spans="1:16" s="3" customFormat="1" ht="25.5" x14ac:dyDescent="0.2">
      <c r="A532" s="13" t="s">
        <v>5</v>
      </c>
      <c r="B532" s="50">
        <v>919</v>
      </c>
      <c r="C532" s="1" t="s">
        <v>16</v>
      </c>
      <c r="D532" s="1"/>
      <c r="E532" s="1"/>
      <c r="F532" s="1"/>
      <c r="G532" s="2">
        <f>G533</f>
        <v>1529.4</v>
      </c>
      <c r="H532" s="2">
        <f>H533</f>
        <v>1529.4</v>
      </c>
      <c r="I532" s="2">
        <f>I533</f>
        <v>1529.4</v>
      </c>
    </row>
    <row r="533" spans="1:16" s="9" customFormat="1" ht="38.25" x14ac:dyDescent="0.2">
      <c r="A533" s="11" t="s">
        <v>82</v>
      </c>
      <c r="B533" s="14">
        <v>919</v>
      </c>
      <c r="C533" s="8" t="s">
        <v>16</v>
      </c>
      <c r="D533" s="8" t="s">
        <v>26</v>
      </c>
      <c r="E533" s="8"/>
      <c r="F533" s="8"/>
      <c r="G533" s="4">
        <f>G534</f>
        <v>1529.4</v>
      </c>
      <c r="H533" s="4">
        <f t="shared" ref="H533:I533" si="60">H534</f>
        <v>1529.4</v>
      </c>
      <c r="I533" s="4">
        <f t="shared" si="60"/>
        <v>1529.4</v>
      </c>
    </row>
    <row r="534" spans="1:16" s="29" customFormat="1" x14ac:dyDescent="0.2">
      <c r="A534" s="74" t="s">
        <v>197</v>
      </c>
      <c r="B534" s="74">
        <v>919</v>
      </c>
      <c r="C534" s="19" t="s">
        <v>16</v>
      </c>
      <c r="D534" s="19" t="s">
        <v>26</v>
      </c>
      <c r="E534" s="19" t="s">
        <v>198</v>
      </c>
      <c r="F534" s="19"/>
      <c r="G534" s="20">
        <f>G535</f>
        <v>1529.4</v>
      </c>
      <c r="H534" s="20">
        <f>H535</f>
        <v>1529.4</v>
      </c>
      <c r="I534" s="20">
        <f>I535</f>
        <v>1529.4</v>
      </c>
    </row>
    <row r="535" spans="1:16" s="29" customFormat="1" ht="25.5" x14ac:dyDescent="0.2">
      <c r="A535" s="31" t="s">
        <v>169</v>
      </c>
      <c r="B535" s="26">
        <v>919</v>
      </c>
      <c r="C535" s="27" t="s">
        <v>16</v>
      </c>
      <c r="D535" s="27" t="s">
        <v>26</v>
      </c>
      <c r="E535" s="27" t="s">
        <v>198</v>
      </c>
      <c r="F535" s="30" t="s">
        <v>66</v>
      </c>
      <c r="G535" s="28">
        <f>1529.4</f>
        <v>1529.4</v>
      </c>
      <c r="H535" s="28">
        <f t="shared" ref="H535:I535" si="61">1529.4</f>
        <v>1529.4</v>
      </c>
      <c r="I535" s="28">
        <f t="shared" si="61"/>
        <v>1529.4</v>
      </c>
    </row>
    <row r="536" spans="1:16" s="3" customFormat="1" x14ac:dyDescent="0.2">
      <c r="A536" s="13" t="s">
        <v>27</v>
      </c>
      <c r="B536" s="50">
        <v>919</v>
      </c>
      <c r="C536" s="1" t="s">
        <v>18</v>
      </c>
      <c r="D536" s="1"/>
      <c r="E536" s="1"/>
      <c r="F536" s="1"/>
      <c r="G536" s="2">
        <f>G537+G540</f>
        <v>125206.8</v>
      </c>
      <c r="H536" s="2">
        <f>H537+H540</f>
        <v>121144.9</v>
      </c>
      <c r="I536" s="2">
        <f>I537+I540</f>
        <v>116673.4</v>
      </c>
      <c r="J536" s="21"/>
      <c r="K536" s="23"/>
      <c r="L536" s="23"/>
      <c r="M536" s="23"/>
      <c r="N536" s="21"/>
      <c r="O536" s="21"/>
      <c r="P536" s="21"/>
    </row>
    <row r="537" spans="1:16" s="9" customFormat="1" x14ac:dyDescent="0.2">
      <c r="A537" s="11" t="s">
        <v>28</v>
      </c>
      <c r="B537" s="14">
        <v>919</v>
      </c>
      <c r="C537" s="8" t="s">
        <v>18</v>
      </c>
      <c r="D537" s="8" t="s">
        <v>14</v>
      </c>
      <c r="E537" s="8"/>
      <c r="F537" s="8"/>
      <c r="G537" s="4">
        <f t="shared" ref="G537:I538" si="62">G538</f>
        <v>43251.3</v>
      </c>
      <c r="H537" s="4">
        <f t="shared" si="62"/>
        <v>39189.4</v>
      </c>
      <c r="I537" s="4">
        <f t="shared" si="62"/>
        <v>34717.9</v>
      </c>
      <c r="J537" s="29"/>
      <c r="K537" s="29"/>
      <c r="L537" s="29"/>
      <c r="M537" s="29"/>
      <c r="N537" s="29"/>
      <c r="O537" s="29"/>
      <c r="P537" s="29"/>
    </row>
    <row r="538" spans="1:16" ht="38.25" x14ac:dyDescent="0.2">
      <c r="A538" s="18" t="s">
        <v>407</v>
      </c>
      <c r="B538" s="22">
        <v>919</v>
      </c>
      <c r="C538" s="19" t="s">
        <v>18</v>
      </c>
      <c r="D538" s="19" t="s">
        <v>14</v>
      </c>
      <c r="E538" s="19" t="s">
        <v>406</v>
      </c>
      <c r="F538" s="19"/>
      <c r="G538" s="20">
        <f t="shared" si="62"/>
        <v>43251.3</v>
      </c>
      <c r="H538" s="20">
        <f t="shared" si="62"/>
        <v>39189.4</v>
      </c>
      <c r="I538" s="20">
        <f t="shared" si="62"/>
        <v>34717.9</v>
      </c>
      <c r="J538" s="3"/>
      <c r="K538" s="3"/>
      <c r="L538" s="3"/>
      <c r="M538" s="3"/>
      <c r="N538" s="3"/>
      <c r="O538" s="3"/>
      <c r="P538" s="3"/>
    </row>
    <row r="539" spans="1:16" s="29" customFormat="1" x14ac:dyDescent="0.2">
      <c r="A539" s="31" t="s">
        <v>73</v>
      </c>
      <c r="B539" s="35">
        <v>919</v>
      </c>
      <c r="C539" s="27" t="s">
        <v>18</v>
      </c>
      <c r="D539" s="27" t="s">
        <v>14</v>
      </c>
      <c r="E539" s="27" t="s">
        <v>406</v>
      </c>
      <c r="F539" s="27" t="s">
        <v>74</v>
      </c>
      <c r="G539" s="28">
        <f>43251.3</f>
        <v>43251.3</v>
      </c>
      <c r="H539" s="28">
        <f>43251.3-4061.9</f>
        <v>39189.4</v>
      </c>
      <c r="I539" s="28">
        <f>43251.3-8533.4</f>
        <v>34717.9</v>
      </c>
      <c r="J539" s="9"/>
      <c r="K539" s="9"/>
      <c r="L539" s="9"/>
      <c r="M539" s="9"/>
      <c r="N539" s="9"/>
      <c r="O539" s="9"/>
      <c r="P539" s="9"/>
    </row>
    <row r="540" spans="1:16" s="9" customFormat="1" x14ac:dyDescent="0.2">
      <c r="A540" s="11" t="s">
        <v>80</v>
      </c>
      <c r="B540" s="14">
        <v>919</v>
      </c>
      <c r="C540" s="8" t="s">
        <v>18</v>
      </c>
      <c r="D540" s="8" t="s">
        <v>26</v>
      </c>
      <c r="E540" s="8"/>
      <c r="F540" s="8"/>
      <c r="G540" s="4">
        <f>G545+G541+G543</f>
        <v>81955.5</v>
      </c>
      <c r="H540" s="4">
        <f>H545+H541+H543</f>
        <v>81955.5</v>
      </c>
      <c r="I540" s="4">
        <f>I545+I541+I543</f>
        <v>81955.5</v>
      </c>
      <c r="J540" s="21"/>
      <c r="K540" s="21"/>
      <c r="L540" s="21"/>
      <c r="M540" s="21"/>
      <c r="N540" s="21"/>
      <c r="O540" s="21"/>
      <c r="P540" s="21"/>
    </row>
    <row r="541" spans="1:16" ht="25.5" x14ac:dyDescent="0.2">
      <c r="A541" s="18" t="s">
        <v>409</v>
      </c>
      <c r="B541" s="22">
        <v>919</v>
      </c>
      <c r="C541" s="19" t="s">
        <v>18</v>
      </c>
      <c r="D541" s="19" t="s">
        <v>26</v>
      </c>
      <c r="E541" s="19" t="s">
        <v>408</v>
      </c>
      <c r="F541" s="19"/>
      <c r="G541" s="20">
        <f>G542</f>
        <v>75347.199999999997</v>
      </c>
      <c r="H541" s="20">
        <f>H542</f>
        <v>75347.199999999997</v>
      </c>
      <c r="I541" s="20">
        <f>I542</f>
        <v>75347.199999999997</v>
      </c>
      <c r="O541" s="29"/>
      <c r="P541" s="29"/>
    </row>
    <row r="542" spans="1:16" s="29" customFormat="1" ht="25.5" x14ac:dyDescent="0.2">
      <c r="A542" s="31" t="s">
        <v>169</v>
      </c>
      <c r="B542" s="35">
        <v>919</v>
      </c>
      <c r="C542" s="27" t="s">
        <v>18</v>
      </c>
      <c r="D542" s="27" t="s">
        <v>26</v>
      </c>
      <c r="E542" s="27" t="s">
        <v>408</v>
      </c>
      <c r="F542" s="27" t="s">
        <v>66</v>
      </c>
      <c r="G542" s="28">
        <v>75347.199999999997</v>
      </c>
      <c r="H542" s="28">
        <v>75347.199999999997</v>
      </c>
      <c r="I542" s="28">
        <v>75347.199999999997</v>
      </c>
      <c r="J542" s="21"/>
      <c r="K542" s="21"/>
      <c r="L542" s="21"/>
      <c r="M542" s="21"/>
      <c r="N542" s="21"/>
      <c r="O542" s="21"/>
      <c r="P542" s="21"/>
    </row>
    <row r="543" spans="1:16" ht="25.5" x14ac:dyDescent="0.2">
      <c r="A543" s="18" t="s">
        <v>411</v>
      </c>
      <c r="B543" s="18">
        <v>919</v>
      </c>
      <c r="C543" s="19" t="s">
        <v>18</v>
      </c>
      <c r="D543" s="19" t="s">
        <v>26</v>
      </c>
      <c r="E543" s="19" t="s">
        <v>410</v>
      </c>
      <c r="F543" s="19"/>
      <c r="G543" s="20">
        <f>G544</f>
        <v>6117</v>
      </c>
      <c r="H543" s="20">
        <f>H544</f>
        <v>6117</v>
      </c>
      <c r="I543" s="20">
        <f>I544</f>
        <v>6117</v>
      </c>
    </row>
    <row r="544" spans="1:16" ht="25.5" x14ac:dyDescent="0.2">
      <c r="A544" s="31" t="s">
        <v>169</v>
      </c>
      <c r="B544" s="31">
        <v>919</v>
      </c>
      <c r="C544" s="27" t="s">
        <v>18</v>
      </c>
      <c r="D544" s="27" t="s">
        <v>26</v>
      </c>
      <c r="E544" s="27" t="s">
        <v>410</v>
      </c>
      <c r="F544" s="27" t="s">
        <v>66</v>
      </c>
      <c r="G544" s="28">
        <v>6117</v>
      </c>
      <c r="H544" s="28">
        <v>6117</v>
      </c>
      <c r="I544" s="28">
        <v>6117</v>
      </c>
    </row>
    <row r="545" spans="1:16" ht="25.5" x14ac:dyDescent="0.2">
      <c r="A545" s="18" t="s">
        <v>413</v>
      </c>
      <c r="B545" s="22">
        <v>919</v>
      </c>
      <c r="C545" s="19" t="s">
        <v>18</v>
      </c>
      <c r="D545" s="19" t="s">
        <v>26</v>
      </c>
      <c r="E545" s="19" t="s">
        <v>412</v>
      </c>
      <c r="F545" s="19"/>
      <c r="G545" s="20">
        <f>G546</f>
        <v>491.3</v>
      </c>
      <c r="H545" s="20">
        <f>H546</f>
        <v>491.3</v>
      </c>
      <c r="I545" s="20">
        <f>I546</f>
        <v>491.3</v>
      </c>
      <c r="O545" s="29"/>
      <c r="P545" s="29"/>
    </row>
    <row r="546" spans="1:16" s="29" customFormat="1" ht="25.5" x14ac:dyDescent="0.2">
      <c r="A546" s="31" t="s">
        <v>169</v>
      </c>
      <c r="B546" s="35">
        <v>919</v>
      </c>
      <c r="C546" s="27" t="s">
        <v>18</v>
      </c>
      <c r="D546" s="27" t="s">
        <v>26</v>
      </c>
      <c r="E546" s="27" t="s">
        <v>412</v>
      </c>
      <c r="F546" s="27" t="s">
        <v>66</v>
      </c>
      <c r="G546" s="28">
        <v>491.3</v>
      </c>
      <c r="H546" s="28">
        <v>491.3</v>
      </c>
      <c r="I546" s="28">
        <v>491.3</v>
      </c>
      <c r="J546" s="21"/>
      <c r="K546" s="21"/>
      <c r="L546" s="21"/>
      <c r="M546" s="21"/>
      <c r="N546" s="21"/>
      <c r="O546" s="21"/>
      <c r="P546" s="21"/>
    </row>
    <row r="547" spans="1:16" s="3" customFormat="1" x14ac:dyDescent="0.2">
      <c r="A547" s="13" t="s">
        <v>30</v>
      </c>
      <c r="B547" s="50">
        <v>919</v>
      </c>
      <c r="C547" s="1" t="s">
        <v>31</v>
      </c>
      <c r="D547" s="1"/>
      <c r="E547" s="1"/>
      <c r="F547" s="1"/>
      <c r="G547" s="2">
        <f>G548+G551+G574+G585</f>
        <v>151242.20000000004</v>
      </c>
      <c r="H547" s="2">
        <f>H548+H551+H574+H585</f>
        <v>81220.200000000012</v>
      </c>
      <c r="I547" s="2">
        <f>I548+I551+I574+I585</f>
        <v>93682.8</v>
      </c>
      <c r="J547" s="21"/>
      <c r="K547" s="86"/>
      <c r="L547" s="86"/>
      <c r="M547" s="86"/>
      <c r="N547" s="21"/>
      <c r="O547" s="21"/>
      <c r="P547" s="21"/>
    </row>
    <row r="548" spans="1:16" s="9" customFormat="1" x14ac:dyDescent="0.2">
      <c r="A548" s="11" t="s">
        <v>32</v>
      </c>
      <c r="B548" s="14">
        <v>919</v>
      </c>
      <c r="C548" s="8" t="s">
        <v>31</v>
      </c>
      <c r="D548" s="8" t="s">
        <v>12</v>
      </c>
      <c r="E548" s="8"/>
      <c r="F548" s="8"/>
      <c r="G548" s="4">
        <f t="shared" ref="G548:I549" si="63">G549</f>
        <v>1274.3</v>
      </c>
      <c r="H548" s="4">
        <f t="shared" si="63"/>
        <v>1274.3</v>
      </c>
      <c r="I548" s="4">
        <f t="shared" si="63"/>
        <v>1274.3</v>
      </c>
      <c r="K548" s="87"/>
      <c r="L548" s="87"/>
      <c r="M548" s="87"/>
    </row>
    <row r="549" spans="1:16" ht="25.5" x14ac:dyDescent="0.2">
      <c r="A549" s="18" t="s">
        <v>415</v>
      </c>
      <c r="B549" s="22">
        <v>919</v>
      </c>
      <c r="C549" s="19" t="s">
        <v>31</v>
      </c>
      <c r="D549" s="19" t="s">
        <v>12</v>
      </c>
      <c r="E549" s="19" t="s">
        <v>414</v>
      </c>
      <c r="F549" s="19"/>
      <c r="G549" s="20">
        <f t="shared" si="63"/>
        <v>1274.3</v>
      </c>
      <c r="H549" s="20">
        <f t="shared" si="63"/>
        <v>1274.3</v>
      </c>
      <c r="I549" s="20">
        <f t="shared" si="63"/>
        <v>1274.3</v>
      </c>
      <c r="J549" s="7"/>
      <c r="K549" s="7"/>
      <c r="L549" s="7"/>
      <c r="M549" s="7"/>
      <c r="N549" s="7"/>
      <c r="O549" s="7"/>
      <c r="P549" s="7"/>
    </row>
    <row r="550" spans="1:16" s="29" customFormat="1" x14ac:dyDescent="0.2">
      <c r="A550" s="31" t="s">
        <v>73</v>
      </c>
      <c r="B550" s="35">
        <v>919</v>
      </c>
      <c r="C550" s="27" t="s">
        <v>31</v>
      </c>
      <c r="D550" s="27" t="s">
        <v>12</v>
      </c>
      <c r="E550" s="27" t="s">
        <v>414</v>
      </c>
      <c r="F550" s="27" t="s">
        <v>74</v>
      </c>
      <c r="G550" s="28">
        <f>1274.3</f>
        <v>1274.3</v>
      </c>
      <c r="H550" s="28">
        <f t="shared" ref="H550:I550" si="64">1274.3</f>
        <v>1274.3</v>
      </c>
      <c r="I550" s="28">
        <f t="shared" si="64"/>
        <v>1274.3</v>
      </c>
      <c r="J550" s="7"/>
      <c r="K550" s="7"/>
      <c r="L550" s="7"/>
      <c r="M550" s="7"/>
      <c r="N550" s="7"/>
      <c r="O550" s="7"/>
      <c r="P550" s="7"/>
    </row>
    <row r="551" spans="1:16" s="9" customFormat="1" x14ac:dyDescent="0.2">
      <c r="A551" s="11" t="s">
        <v>33</v>
      </c>
      <c r="B551" s="14">
        <v>919</v>
      </c>
      <c r="C551" s="8" t="s">
        <v>31</v>
      </c>
      <c r="D551" s="8" t="s">
        <v>14</v>
      </c>
      <c r="E551" s="8"/>
      <c r="F551" s="8"/>
      <c r="G551" s="4">
        <f>G552+G562+G566+G568+G570+G572+G554+G558+G560+G556+G564</f>
        <v>124871.80000000002</v>
      </c>
      <c r="H551" s="4">
        <f t="shared" ref="H551:I551" si="65">H552+H562+H566+H568+H570+H572+H554+H558+H560+H556+H564</f>
        <v>54849.799999999996</v>
      </c>
      <c r="I551" s="4">
        <f t="shared" si="65"/>
        <v>67312.399999999994</v>
      </c>
      <c r="J551" s="21"/>
      <c r="K551" s="21"/>
      <c r="L551" s="21"/>
      <c r="M551" s="21"/>
      <c r="N551" s="21"/>
      <c r="O551" s="21"/>
      <c r="P551" s="21"/>
    </row>
    <row r="552" spans="1:16" s="12" customFormat="1" ht="25.5" x14ac:dyDescent="0.2">
      <c r="A552" s="17" t="s">
        <v>200</v>
      </c>
      <c r="B552" s="51">
        <v>919</v>
      </c>
      <c r="C552" s="19" t="s">
        <v>31</v>
      </c>
      <c r="D552" s="19" t="s">
        <v>14</v>
      </c>
      <c r="E552" s="19" t="s">
        <v>199</v>
      </c>
      <c r="F552" s="5"/>
      <c r="G552" s="6">
        <f>G553</f>
        <v>43.4</v>
      </c>
      <c r="H552" s="6">
        <f>H553</f>
        <v>43.4</v>
      </c>
      <c r="I552" s="6">
        <f>I553</f>
        <v>43.4</v>
      </c>
    </row>
    <row r="553" spans="1:16" s="29" customFormat="1" ht="25.5" x14ac:dyDescent="0.2">
      <c r="A553" s="31" t="s">
        <v>77</v>
      </c>
      <c r="B553" s="36">
        <v>919</v>
      </c>
      <c r="C553" s="27" t="s">
        <v>31</v>
      </c>
      <c r="D553" s="27" t="s">
        <v>14</v>
      </c>
      <c r="E553" s="27" t="s">
        <v>199</v>
      </c>
      <c r="F553" s="30" t="s">
        <v>69</v>
      </c>
      <c r="G553" s="28">
        <f>43.4</f>
        <v>43.4</v>
      </c>
      <c r="H553" s="28">
        <f t="shared" ref="H553:I553" si="66">43.4</f>
        <v>43.4</v>
      </c>
      <c r="I553" s="28">
        <f t="shared" si="66"/>
        <v>43.4</v>
      </c>
    </row>
    <row r="554" spans="1:16" s="7" customFormat="1" ht="25.5" x14ac:dyDescent="0.2">
      <c r="A554" s="17" t="s">
        <v>417</v>
      </c>
      <c r="B554" s="51">
        <v>919</v>
      </c>
      <c r="C554" s="19" t="s">
        <v>31</v>
      </c>
      <c r="D554" s="19" t="s">
        <v>14</v>
      </c>
      <c r="E554" s="19" t="s">
        <v>416</v>
      </c>
      <c r="F554" s="19"/>
      <c r="G554" s="20">
        <f>G555</f>
        <v>2314</v>
      </c>
      <c r="H554" s="20">
        <f>H555</f>
        <v>4455</v>
      </c>
      <c r="I554" s="20">
        <f>I555</f>
        <v>4573</v>
      </c>
      <c r="J554" s="29"/>
      <c r="K554" s="29"/>
      <c r="L554" s="29"/>
      <c r="M554" s="29"/>
      <c r="N554" s="29"/>
      <c r="O554" s="29"/>
      <c r="P554" s="29"/>
    </row>
    <row r="555" spans="1:16" s="7" customFormat="1" ht="25.5" x14ac:dyDescent="0.2">
      <c r="A555" s="31" t="s">
        <v>77</v>
      </c>
      <c r="B555" s="35">
        <v>919</v>
      </c>
      <c r="C555" s="27" t="s">
        <v>31</v>
      </c>
      <c r="D555" s="27" t="s">
        <v>14</v>
      </c>
      <c r="E555" s="27" t="s">
        <v>416</v>
      </c>
      <c r="F555" s="27" t="s">
        <v>69</v>
      </c>
      <c r="G555" s="28">
        <f>2314</f>
        <v>2314</v>
      </c>
      <c r="H555" s="28">
        <f>4455</f>
        <v>4455</v>
      </c>
      <c r="I555" s="28">
        <f>4573</f>
        <v>4573</v>
      </c>
      <c r="J555" s="21"/>
      <c r="K555" s="21"/>
      <c r="L555" s="21"/>
      <c r="M555" s="21"/>
      <c r="N555" s="21"/>
      <c r="O555" s="21"/>
      <c r="P555" s="21"/>
    </row>
    <row r="556" spans="1:16" s="7" customFormat="1" ht="25.5" x14ac:dyDescent="0.2">
      <c r="A556" s="17" t="s">
        <v>457</v>
      </c>
      <c r="B556" s="51">
        <v>919</v>
      </c>
      <c r="C556" s="19" t="s">
        <v>31</v>
      </c>
      <c r="D556" s="19" t="s">
        <v>14</v>
      </c>
      <c r="E556" s="19" t="s">
        <v>456</v>
      </c>
      <c r="F556" s="19"/>
      <c r="G556" s="20">
        <f>G557</f>
        <v>1500</v>
      </c>
      <c r="H556" s="20">
        <f>H557</f>
        <v>1500</v>
      </c>
      <c r="I556" s="20">
        <f>I557</f>
        <v>1500</v>
      </c>
      <c r="J556" s="29"/>
      <c r="K556" s="29"/>
      <c r="L556" s="29"/>
      <c r="M556" s="29"/>
      <c r="N556" s="29"/>
      <c r="O556" s="29"/>
      <c r="P556" s="29"/>
    </row>
    <row r="557" spans="1:16" s="7" customFormat="1" ht="25.5" x14ac:dyDescent="0.2">
      <c r="A557" s="31" t="s">
        <v>84</v>
      </c>
      <c r="B557" s="35">
        <v>919</v>
      </c>
      <c r="C557" s="27" t="s">
        <v>31</v>
      </c>
      <c r="D557" s="27" t="s">
        <v>14</v>
      </c>
      <c r="E557" s="27" t="s">
        <v>456</v>
      </c>
      <c r="F557" s="27" t="s">
        <v>72</v>
      </c>
      <c r="G557" s="28">
        <f>1500</f>
        <v>1500</v>
      </c>
      <c r="H557" s="28">
        <f>1500</f>
        <v>1500</v>
      </c>
      <c r="I557" s="28">
        <f>1500</f>
        <v>1500</v>
      </c>
      <c r="J557" s="21"/>
      <c r="K557" s="21"/>
      <c r="L557" s="21"/>
      <c r="M557" s="21"/>
      <c r="N557" s="21"/>
      <c r="O557" s="21"/>
      <c r="P557" s="21"/>
    </row>
    <row r="558" spans="1:16" s="7" customFormat="1" x14ac:dyDescent="0.2">
      <c r="A558" s="17" t="s">
        <v>419</v>
      </c>
      <c r="B558" s="51">
        <v>919</v>
      </c>
      <c r="C558" s="19" t="s">
        <v>31</v>
      </c>
      <c r="D558" s="19" t="s">
        <v>14</v>
      </c>
      <c r="E558" s="19" t="s">
        <v>418</v>
      </c>
      <c r="F558" s="19"/>
      <c r="G558" s="20">
        <f>G559</f>
        <v>890</v>
      </c>
      <c r="H558" s="20">
        <f>H559</f>
        <v>890</v>
      </c>
      <c r="I558" s="20">
        <f>I559</f>
        <v>890</v>
      </c>
      <c r="J558" s="29"/>
      <c r="K558" s="29"/>
      <c r="L558" s="29"/>
      <c r="M558" s="29"/>
      <c r="N558" s="29"/>
      <c r="O558" s="29"/>
      <c r="P558" s="29"/>
    </row>
    <row r="559" spans="1:16" s="7" customFormat="1" ht="25.5" x14ac:dyDescent="0.2">
      <c r="A559" s="31" t="s">
        <v>77</v>
      </c>
      <c r="B559" s="35">
        <v>919</v>
      </c>
      <c r="C559" s="27" t="s">
        <v>31</v>
      </c>
      <c r="D559" s="27" t="s">
        <v>14</v>
      </c>
      <c r="E559" s="27" t="s">
        <v>418</v>
      </c>
      <c r="F559" s="27" t="s">
        <v>69</v>
      </c>
      <c r="G559" s="28">
        <f>890</f>
        <v>890</v>
      </c>
      <c r="H559" s="28">
        <f>890</f>
        <v>890</v>
      </c>
      <c r="I559" s="28">
        <f>890</f>
        <v>890</v>
      </c>
      <c r="J559" s="21"/>
      <c r="K559" s="21"/>
      <c r="L559" s="21"/>
      <c r="M559" s="21"/>
      <c r="N559" s="21"/>
      <c r="O559" s="21"/>
      <c r="P559" s="21"/>
    </row>
    <row r="560" spans="1:16" s="7" customFormat="1" x14ac:dyDescent="0.2">
      <c r="A560" s="17" t="s">
        <v>421</v>
      </c>
      <c r="B560" s="51">
        <v>919</v>
      </c>
      <c r="C560" s="19" t="s">
        <v>31</v>
      </c>
      <c r="D560" s="19" t="s">
        <v>14</v>
      </c>
      <c r="E560" s="19" t="s">
        <v>420</v>
      </c>
      <c r="F560" s="19"/>
      <c r="G560" s="20">
        <f>G561</f>
        <v>50</v>
      </c>
      <c r="H560" s="20">
        <f>H561</f>
        <v>50</v>
      </c>
      <c r="I560" s="20">
        <f>I561</f>
        <v>50</v>
      </c>
      <c r="J560" s="29"/>
      <c r="K560" s="29"/>
      <c r="L560" s="29"/>
      <c r="M560" s="29"/>
      <c r="N560" s="29"/>
      <c r="O560" s="29"/>
      <c r="P560" s="29"/>
    </row>
    <row r="561" spans="1:16" s="7" customFormat="1" ht="25.5" x14ac:dyDescent="0.2">
      <c r="A561" s="31" t="s">
        <v>77</v>
      </c>
      <c r="B561" s="35">
        <v>919</v>
      </c>
      <c r="C561" s="27" t="s">
        <v>31</v>
      </c>
      <c r="D561" s="27" t="s">
        <v>14</v>
      </c>
      <c r="E561" s="27" t="s">
        <v>420</v>
      </c>
      <c r="F561" s="27" t="s">
        <v>69</v>
      </c>
      <c r="G561" s="28">
        <f>50</f>
        <v>50</v>
      </c>
      <c r="H561" s="28">
        <f>50</f>
        <v>50</v>
      </c>
      <c r="I561" s="28">
        <f>50</f>
        <v>50</v>
      </c>
      <c r="J561" s="21"/>
      <c r="K561" s="21"/>
      <c r="L561" s="21"/>
      <c r="M561" s="21"/>
      <c r="N561" s="21"/>
      <c r="O561" s="21"/>
      <c r="P561" s="21"/>
    </row>
    <row r="562" spans="1:16" s="7" customFormat="1" x14ac:dyDescent="0.2">
      <c r="A562" s="17" t="s">
        <v>423</v>
      </c>
      <c r="B562" s="51">
        <v>919</v>
      </c>
      <c r="C562" s="19" t="s">
        <v>31</v>
      </c>
      <c r="D562" s="19" t="s">
        <v>14</v>
      </c>
      <c r="E562" s="19" t="s">
        <v>422</v>
      </c>
      <c r="F562" s="19"/>
      <c r="G562" s="20">
        <f>G563</f>
        <v>1500</v>
      </c>
      <c r="H562" s="20">
        <f>H563</f>
        <v>500</v>
      </c>
      <c r="I562" s="20">
        <f>I563</f>
        <v>500</v>
      </c>
      <c r="J562" s="29"/>
      <c r="K562" s="29"/>
      <c r="L562" s="29"/>
      <c r="M562" s="29"/>
      <c r="N562" s="29"/>
      <c r="O562" s="29"/>
      <c r="P562" s="29"/>
    </row>
    <row r="563" spans="1:16" s="7" customFormat="1" ht="25.5" x14ac:dyDescent="0.2">
      <c r="A563" s="31" t="s">
        <v>77</v>
      </c>
      <c r="B563" s="35">
        <v>919</v>
      </c>
      <c r="C563" s="27" t="s">
        <v>31</v>
      </c>
      <c r="D563" s="27" t="s">
        <v>14</v>
      </c>
      <c r="E563" s="27" t="s">
        <v>422</v>
      </c>
      <c r="F563" s="27" t="s">
        <v>69</v>
      </c>
      <c r="G563" s="28">
        <f>1500</f>
        <v>1500</v>
      </c>
      <c r="H563" s="28">
        <f>500</f>
        <v>500</v>
      </c>
      <c r="I563" s="28">
        <f>500</f>
        <v>500</v>
      </c>
      <c r="J563" s="21"/>
      <c r="K563" s="21"/>
      <c r="L563" s="21"/>
      <c r="M563" s="21"/>
      <c r="N563" s="21"/>
      <c r="O563" s="21"/>
      <c r="P563" s="21"/>
    </row>
    <row r="564" spans="1:16" s="7" customFormat="1" x14ac:dyDescent="0.2">
      <c r="A564" s="17" t="s">
        <v>459</v>
      </c>
      <c r="B564" s="51">
        <v>919</v>
      </c>
      <c r="C564" s="19" t="s">
        <v>31</v>
      </c>
      <c r="D564" s="19" t="s">
        <v>14</v>
      </c>
      <c r="E564" s="19" t="s">
        <v>458</v>
      </c>
      <c r="F564" s="19"/>
      <c r="G564" s="20">
        <f>G565</f>
        <v>2000</v>
      </c>
      <c r="H564" s="20">
        <f>H565</f>
        <v>1000</v>
      </c>
      <c r="I564" s="20">
        <f>I565</f>
        <v>1000</v>
      </c>
      <c r="J564" s="29"/>
      <c r="K564" s="29"/>
      <c r="L564" s="29"/>
      <c r="M564" s="29"/>
      <c r="N564" s="29"/>
      <c r="O564" s="29"/>
      <c r="P564" s="29"/>
    </row>
    <row r="565" spans="1:16" s="7" customFormat="1" ht="25.5" x14ac:dyDescent="0.2">
      <c r="A565" s="31" t="s">
        <v>77</v>
      </c>
      <c r="B565" s="35">
        <v>919</v>
      </c>
      <c r="C565" s="27" t="s">
        <v>31</v>
      </c>
      <c r="D565" s="27" t="s">
        <v>14</v>
      </c>
      <c r="E565" s="27" t="s">
        <v>458</v>
      </c>
      <c r="F565" s="27" t="s">
        <v>69</v>
      </c>
      <c r="G565" s="28">
        <f>2000</f>
        <v>2000</v>
      </c>
      <c r="H565" s="28">
        <f>1000</f>
        <v>1000</v>
      </c>
      <c r="I565" s="28">
        <f>1000</f>
        <v>1000</v>
      </c>
      <c r="J565" s="21"/>
      <c r="K565" s="21"/>
      <c r="L565" s="21"/>
      <c r="M565" s="21"/>
      <c r="N565" s="21"/>
      <c r="O565" s="21"/>
      <c r="P565" s="21"/>
    </row>
    <row r="566" spans="1:16" ht="63.75" x14ac:dyDescent="0.2">
      <c r="A566" s="18" t="s">
        <v>425</v>
      </c>
      <c r="B566" s="22">
        <v>919</v>
      </c>
      <c r="C566" s="19" t="s">
        <v>31</v>
      </c>
      <c r="D566" s="19" t="s">
        <v>14</v>
      </c>
      <c r="E566" s="19" t="s">
        <v>424</v>
      </c>
      <c r="F566" s="19"/>
      <c r="G566" s="20">
        <f>G567</f>
        <v>111382.80000000002</v>
      </c>
      <c r="H566" s="20">
        <f>H567</f>
        <v>41219.799999999996</v>
      </c>
      <c r="I566" s="20">
        <f>I567</f>
        <v>53564.4</v>
      </c>
      <c r="J566" s="29"/>
      <c r="K566" s="29"/>
      <c r="L566" s="29"/>
      <c r="M566" s="29"/>
      <c r="N566" s="29"/>
      <c r="O566" s="29"/>
      <c r="P566" s="29"/>
    </row>
    <row r="567" spans="1:16" s="29" customFormat="1" x14ac:dyDescent="0.2">
      <c r="A567" s="31" t="s">
        <v>73</v>
      </c>
      <c r="B567" s="35">
        <v>919</v>
      </c>
      <c r="C567" s="27" t="s">
        <v>31</v>
      </c>
      <c r="D567" s="27" t="s">
        <v>14</v>
      </c>
      <c r="E567" s="27" t="s">
        <v>424</v>
      </c>
      <c r="F567" s="27" t="s">
        <v>74</v>
      </c>
      <c r="G567" s="28">
        <f>29522.4+80374.8+1485.6</f>
        <v>111382.80000000002</v>
      </c>
      <c r="H567" s="28">
        <f>10222.7+27831.5+1485.6+1680</f>
        <v>41219.799999999996</v>
      </c>
      <c r="I567" s="28">
        <f>13538.9+36859.9+1485.6+1680</f>
        <v>53564.4</v>
      </c>
      <c r="J567" s="21"/>
      <c r="K567" s="21"/>
      <c r="L567" s="21"/>
      <c r="M567" s="21"/>
      <c r="N567" s="21"/>
      <c r="O567" s="21"/>
      <c r="P567" s="21"/>
    </row>
    <row r="568" spans="1:16" ht="63.75" x14ac:dyDescent="0.2">
      <c r="A568" s="17" t="s">
        <v>427</v>
      </c>
      <c r="B568" s="51">
        <v>919</v>
      </c>
      <c r="C568" s="19" t="s">
        <v>31</v>
      </c>
      <c r="D568" s="19" t="s">
        <v>14</v>
      </c>
      <c r="E568" s="19" t="s">
        <v>426</v>
      </c>
      <c r="F568" s="19"/>
      <c r="G568" s="20">
        <f>G569</f>
        <v>1600.5</v>
      </c>
      <c r="H568" s="20">
        <f>H569</f>
        <v>1600.5</v>
      </c>
      <c r="I568" s="20">
        <f>I569</f>
        <v>1600.5</v>
      </c>
      <c r="J568" s="29"/>
      <c r="K568" s="29"/>
      <c r="L568" s="29"/>
      <c r="M568" s="29"/>
      <c r="N568" s="29"/>
      <c r="O568" s="29"/>
      <c r="P568" s="29"/>
    </row>
    <row r="569" spans="1:16" s="29" customFormat="1" x14ac:dyDescent="0.2">
      <c r="A569" s="31" t="s">
        <v>73</v>
      </c>
      <c r="B569" s="35">
        <v>919</v>
      </c>
      <c r="C569" s="27" t="s">
        <v>31</v>
      </c>
      <c r="D569" s="27" t="s">
        <v>14</v>
      </c>
      <c r="E569" s="27" t="s">
        <v>426</v>
      </c>
      <c r="F569" s="27" t="s">
        <v>74</v>
      </c>
      <c r="G569" s="28">
        <f>1600.5</f>
        <v>1600.5</v>
      </c>
      <c r="H569" s="28">
        <f t="shared" ref="H569:I569" si="67">1600.5</f>
        <v>1600.5</v>
      </c>
      <c r="I569" s="28">
        <f t="shared" si="67"/>
        <v>1600.5</v>
      </c>
      <c r="J569" s="9"/>
      <c r="K569" s="9"/>
      <c r="L569" s="9"/>
      <c r="M569" s="9"/>
      <c r="N569" s="9"/>
      <c r="O569" s="9"/>
      <c r="P569" s="9"/>
    </row>
    <row r="570" spans="1:16" ht="38.25" x14ac:dyDescent="0.2">
      <c r="A570" s="18" t="s">
        <v>429</v>
      </c>
      <c r="B570" s="22">
        <v>919</v>
      </c>
      <c r="C570" s="19" t="s">
        <v>31</v>
      </c>
      <c r="D570" s="19" t="s">
        <v>14</v>
      </c>
      <c r="E570" s="19" t="s">
        <v>428</v>
      </c>
      <c r="F570" s="19"/>
      <c r="G570" s="20">
        <f>G571</f>
        <v>3591.1</v>
      </c>
      <c r="H570" s="20">
        <f>H571</f>
        <v>3591.1</v>
      </c>
      <c r="I570" s="20">
        <f>I571</f>
        <v>3591.1</v>
      </c>
    </row>
    <row r="571" spans="1:16" s="29" customFormat="1" x14ac:dyDescent="0.2">
      <c r="A571" s="31" t="s">
        <v>73</v>
      </c>
      <c r="B571" s="35">
        <v>919</v>
      </c>
      <c r="C571" s="27" t="s">
        <v>31</v>
      </c>
      <c r="D571" s="27" t="s">
        <v>14</v>
      </c>
      <c r="E571" s="27" t="s">
        <v>428</v>
      </c>
      <c r="F571" s="27" t="s">
        <v>74</v>
      </c>
      <c r="G571" s="28">
        <f>3591.1</f>
        <v>3591.1</v>
      </c>
      <c r="H571" s="28">
        <f t="shared" ref="H571:I571" si="68">3591.1</f>
        <v>3591.1</v>
      </c>
      <c r="I571" s="28">
        <f t="shared" si="68"/>
        <v>3591.1</v>
      </c>
      <c r="J571" s="21"/>
      <c r="K571" s="21"/>
      <c r="L571" s="21"/>
      <c r="M571" s="21"/>
      <c r="N571" s="21"/>
      <c r="O571" s="21"/>
      <c r="P571" s="21"/>
    </row>
    <row r="572" spans="1:16" ht="51" x14ac:dyDescent="0.2">
      <c r="A572" s="18" t="s">
        <v>431</v>
      </c>
      <c r="B572" s="22">
        <v>919</v>
      </c>
      <c r="C572" s="19" t="s">
        <v>31</v>
      </c>
      <c r="D572" s="19" t="s">
        <v>14</v>
      </c>
      <c r="E572" s="19" t="s">
        <v>430</v>
      </c>
      <c r="F572" s="19"/>
      <c r="G572" s="20">
        <f>G573</f>
        <v>0</v>
      </c>
      <c r="H572" s="20">
        <f>H573</f>
        <v>0</v>
      </c>
      <c r="I572" s="20">
        <f>I573</f>
        <v>0</v>
      </c>
      <c r="J572" s="38"/>
      <c r="K572" s="7"/>
      <c r="L572" s="7"/>
      <c r="M572" s="7"/>
      <c r="N572" s="7"/>
      <c r="O572" s="7"/>
      <c r="P572" s="7"/>
    </row>
    <row r="573" spans="1:16" s="29" customFormat="1" x14ac:dyDescent="0.2">
      <c r="A573" s="31" t="s">
        <v>73</v>
      </c>
      <c r="B573" s="35">
        <v>919</v>
      </c>
      <c r="C573" s="27" t="s">
        <v>31</v>
      </c>
      <c r="D573" s="27" t="s">
        <v>14</v>
      </c>
      <c r="E573" s="27" t="s">
        <v>430</v>
      </c>
      <c r="F573" s="27" t="s">
        <v>74</v>
      </c>
      <c r="G573" s="28"/>
      <c r="H573" s="28"/>
      <c r="I573" s="28"/>
    </row>
    <row r="574" spans="1:16" s="9" customFormat="1" x14ac:dyDescent="0.2">
      <c r="A574" s="11" t="s">
        <v>35</v>
      </c>
      <c r="B574" s="14">
        <v>919</v>
      </c>
      <c r="C574" s="8" t="s">
        <v>31</v>
      </c>
      <c r="D574" s="8" t="s">
        <v>16</v>
      </c>
      <c r="E574" s="8"/>
      <c r="F574" s="8"/>
      <c r="G574" s="4">
        <f>G577+G579+G581+G583+G575</f>
        <v>10150</v>
      </c>
      <c r="H574" s="4">
        <f>H577+H579+H581+H583+H575</f>
        <v>10150</v>
      </c>
      <c r="I574" s="4">
        <f>I577+I579+I581+I583+I575</f>
        <v>10150</v>
      </c>
      <c r="J574" s="38"/>
      <c r="K574" s="7"/>
      <c r="L574" s="7"/>
      <c r="M574" s="7"/>
      <c r="N574" s="7"/>
      <c r="O574" s="7"/>
      <c r="P574" s="7"/>
    </row>
    <row r="575" spans="1:16" ht="25.5" x14ac:dyDescent="0.2">
      <c r="A575" s="17" t="s">
        <v>432</v>
      </c>
      <c r="B575" s="17">
        <v>919</v>
      </c>
      <c r="C575" s="19" t="s">
        <v>31</v>
      </c>
      <c r="D575" s="19" t="s">
        <v>16</v>
      </c>
      <c r="E575" s="19" t="s">
        <v>103</v>
      </c>
      <c r="F575" s="19"/>
      <c r="G575" s="20">
        <f>G576</f>
        <v>0</v>
      </c>
      <c r="H575" s="20">
        <f>H576</f>
        <v>0</v>
      </c>
      <c r="I575" s="20">
        <f>I576</f>
        <v>0</v>
      </c>
      <c r="J575" s="29"/>
      <c r="K575" s="29"/>
      <c r="L575" s="29"/>
      <c r="M575" s="29"/>
      <c r="N575" s="29"/>
      <c r="O575" s="29"/>
      <c r="P575" s="29"/>
    </row>
    <row r="576" spans="1:16" ht="25.5" x14ac:dyDescent="0.2">
      <c r="A576" s="31" t="s">
        <v>77</v>
      </c>
      <c r="B576" s="31">
        <v>919</v>
      </c>
      <c r="C576" s="27" t="s">
        <v>31</v>
      </c>
      <c r="D576" s="27" t="s">
        <v>16</v>
      </c>
      <c r="E576" s="27" t="s">
        <v>103</v>
      </c>
      <c r="F576" s="27" t="s">
        <v>69</v>
      </c>
      <c r="G576" s="28"/>
      <c r="H576" s="28"/>
      <c r="I576" s="28"/>
      <c r="J576" s="38"/>
      <c r="K576" s="7"/>
      <c r="L576" s="7"/>
      <c r="M576" s="7"/>
      <c r="N576" s="7"/>
      <c r="O576" s="7"/>
      <c r="P576" s="7"/>
    </row>
    <row r="577" spans="1:16" s="7" customFormat="1" x14ac:dyDescent="0.2">
      <c r="A577" s="18" t="s">
        <v>434</v>
      </c>
      <c r="B577" s="22">
        <v>919</v>
      </c>
      <c r="C577" s="19" t="s">
        <v>31</v>
      </c>
      <c r="D577" s="19" t="s">
        <v>16</v>
      </c>
      <c r="E577" s="19" t="s">
        <v>433</v>
      </c>
      <c r="F577" s="19"/>
      <c r="G577" s="20">
        <f>G578</f>
        <v>400</v>
      </c>
      <c r="H577" s="20">
        <f>H578</f>
        <v>400</v>
      </c>
      <c r="I577" s="20">
        <f>I578</f>
        <v>400</v>
      </c>
      <c r="J577" s="29"/>
      <c r="K577" s="29"/>
      <c r="L577" s="29"/>
      <c r="M577" s="29"/>
      <c r="N577" s="29"/>
      <c r="O577" s="29"/>
      <c r="P577" s="29"/>
    </row>
    <row r="578" spans="1:16" s="29" customFormat="1" ht="25.5" x14ac:dyDescent="0.2">
      <c r="A578" s="31" t="s">
        <v>169</v>
      </c>
      <c r="B578" s="35">
        <v>919</v>
      </c>
      <c r="C578" s="27" t="s">
        <v>31</v>
      </c>
      <c r="D578" s="27" t="s">
        <v>16</v>
      </c>
      <c r="E578" s="27" t="s">
        <v>433</v>
      </c>
      <c r="F578" s="27" t="s">
        <v>66</v>
      </c>
      <c r="G578" s="28">
        <v>400</v>
      </c>
      <c r="H578" s="28">
        <v>400</v>
      </c>
      <c r="I578" s="28">
        <v>400</v>
      </c>
      <c r="J578" s="38"/>
      <c r="K578" s="7"/>
      <c r="L578" s="7"/>
      <c r="M578" s="7"/>
      <c r="N578" s="7"/>
      <c r="O578" s="7"/>
      <c r="P578" s="7"/>
    </row>
    <row r="579" spans="1:16" s="7" customFormat="1" ht="25.5" x14ac:dyDescent="0.2">
      <c r="A579" s="18" t="s">
        <v>435</v>
      </c>
      <c r="B579" s="22">
        <v>919</v>
      </c>
      <c r="C579" s="19" t="s">
        <v>31</v>
      </c>
      <c r="D579" s="19" t="s">
        <v>16</v>
      </c>
      <c r="E579" s="19" t="s">
        <v>436</v>
      </c>
      <c r="F579" s="19"/>
      <c r="G579" s="20">
        <f>G580</f>
        <v>2000</v>
      </c>
      <c r="H579" s="20">
        <f>H580</f>
        <v>2000</v>
      </c>
      <c r="I579" s="20">
        <f>I580</f>
        <v>2000</v>
      </c>
      <c r="J579" s="29"/>
      <c r="K579" s="29"/>
      <c r="L579" s="29"/>
      <c r="M579" s="29"/>
      <c r="N579" s="29"/>
      <c r="O579" s="29"/>
      <c r="P579" s="29"/>
    </row>
    <row r="580" spans="1:16" s="29" customFormat="1" ht="25.5" x14ac:dyDescent="0.2">
      <c r="A580" s="31" t="s">
        <v>169</v>
      </c>
      <c r="B580" s="35">
        <v>919</v>
      </c>
      <c r="C580" s="27" t="s">
        <v>31</v>
      </c>
      <c r="D580" s="27" t="s">
        <v>16</v>
      </c>
      <c r="E580" s="27" t="s">
        <v>437</v>
      </c>
      <c r="F580" s="27" t="s">
        <v>66</v>
      </c>
      <c r="G580" s="28">
        <v>2000</v>
      </c>
      <c r="H580" s="28">
        <v>2000</v>
      </c>
      <c r="I580" s="28">
        <v>2000</v>
      </c>
      <c r="J580" s="9"/>
      <c r="K580" s="9"/>
      <c r="L580" s="9"/>
      <c r="M580" s="9"/>
      <c r="N580" s="9"/>
      <c r="O580" s="9"/>
      <c r="P580" s="9"/>
    </row>
    <row r="581" spans="1:16" s="7" customFormat="1" x14ac:dyDescent="0.2">
      <c r="A581" s="18" t="s">
        <v>439</v>
      </c>
      <c r="B581" s="22">
        <v>919</v>
      </c>
      <c r="C581" s="27" t="s">
        <v>31</v>
      </c>
      <c r="D581" s="27" t="s">
        <v>16</v>
      </c>
      <c r="E581" s="19" t="s">
        <v>438</v>
      </c>
      <c r="F581" s="27"/>
      <c r="G581" s="28">
        <f>G582</f>
        <v>1000</v>
      </c>
      <c r="H581" s="28">
        <f>H582</f>
        <v>1000</v>
      </c>
      <c r="I581" s="28">
        <f>I582</f>
        <v>1000</v>
      </c>
      <c r="J581" s="21"/>
      <c r="K581" s="21"/>
      <c r="L581" s="21"/>
      <c r="M581" s="21"/>
      <c r="N581" s="21"/>
      <c r="O581" s="21"/>
      <c r="P581" s="21"/>
    </row>
    <row r="582" spans="1:16" s="29" customFormat="1" ht="25.5" x14ac:dyDescent="0.2">
      <c r="A582" s="31" t="s">
        <v>169</v>
      </c>
      <c r="B582" s="35">
        <v>919</v>
      </c>
      <c r="C582" s="27" t="s">
        <v>31</v>
      </c>
      <c r="D582" s="27" t="s">
        <v>16</v>
      </c>
      <c r="E582" s="27" t="s">
        <v>438</v>
      </c>
      <c r="F582" s="27" t="s">
        <v>66</v>
      </c>
      <c r="G582" s="28">
        <v>1000</v>
      </c>
      <c r="H582" s="28">
        <v>1000</v>
      </c>
      <c r="I582" s="28">
        <v>1000</v>
      </c>
    </row>
    <row r="583" spans="1:16" s="7" customFormat="1" ht="38.25" x14ac:dyDescent="0.2">
      <c r="A583" s="18" t="s">
        <v>441</v>
      </c>
      <c r="B583" s="22">
        <v>919</v>
      </c>
      <c r="C583" s="19" t="s">
        <v>31</v>
      </c>
      <c r="D583" s="19" t="s">
        <v>16</v>
      </c>
      <c r="E583" s="16" t="s">
        <v>440</v>
      </c>
      <c r="F583" s="19"/>
      <c r="G583" s="20">
        <f>G584</f>
        <v>6750</v>
      </c>
      <c r="H583" s="20">
        <f>H584</f>
        <v>6750</v>
      </c>
      <c r="I583" s="20">
        <f>I584</f>
        <v>6750</v>
      </c>
      <c r="J583" s="21"/>
      <c r="K583" s="21"/>
      <c r="L583" s="21"/>
      <c r="M583" s="21"/>
      <c r="N583" s="21"/>
      <c r="O583" s="21"/>
      <c r="P583" s="21"/>
    </row>
    <row r="584" spans="1:16" s="29" customFormat="1" ht="25.5" x14ac:dyDescent="0.2">
      <c r="A584" s="31" t="s">
        <v>169</v>
      </c>
      <c r="B584" s="35">
        <v>919</v>
      </c>
      <c r="C584" s="27" t="s">
        <v>31</v>
      </c>
      <c r="D584" s="27" t="s">
        <v>16</v>
      </c>
      <c r="E584" s="16" t="s">
        <v>440</v>
      </c>
      <c r="F584" s="27" t="s">
        <v>66</v>
      </c>
      <c r="G584" s="28">
        <v>6750</v>
      </c>
      <c r="H584" s="28">
        <v>6750</v>
      </c>
      <c r="I584" s="28">
        <v>6750</v>
      </c>
    </row>
    <row r="585" spans="1:16" s="9" customFormat="1" ht="25.5" x14ac:dyDescent="0.2">
      <c r="A585" s="11" t="s">
        <v>36</v>
      </c>
      <c r="B585" s="14">
        <v>919</v>
      </c>
      <c r="C585" s="8" t="s">
        <v>31</v>
      </c>
      <c r="D585" s="8" t="s">
        <v>31</v>
      </c>
      <c r="E585" s="8"/>
      <c r="F585" s="8"/>
      <c r="G585" s="4">
        <f>G586+G588+G592</f>
        <v>14946.1</v>
      </c>
      <c r="H585" s="4">
        <f>H586+H588+H592</f>
        <v>14946.1</v>
      </c>
      <c r="I585" s="4">
        <f>I586+I588+I592</f>
        <v>14946.1</v>
      </c>
      <c r="J585" s="29"/>
      <c r="K585" s="29"/>
      <c r="L585" s="29"/>
      <c r="M585" s="29"/>
      <c r="N585" s="29"/>
      <c r="O585" s="29"/>
      <c r="P585" s="29"/>
    </row>
    <row r="586" spans="1:16" ht="38.25" x14ac:dyDescent="0.2">
      <c r="A586" s="18" t="s">
        <v>443</v>
      </c>
      <c r="B586" s="22">
        <v>919</v>
      </c>
      <c r="C586" s="19" t="s">
        <v>31</v>
      </c>
      <c r="D586" s="19" t="s">
        <v>31</v>
      </c>
      <c r="E586" s="19" t="s">
        <v>442</v>
      </c>
      <c r="F586" s="19"/>
      <c r="G586" s="20">
        <f>G587</f>
        <v>4092</v>
      </c>
      <c r="H586" s="20">
        <f>H587</f>
        <v>4092</v>
      </c>
      <c r="I586" s="20">
        <f>I587</f>
        <v>4092</v>
      </c>
      <c r="J586" s="29"/>
      <c r="K586" s="29"/>
      <c r="L586" s="29"/>
      <c r="M586" s="29"/>
      <c r="N586" s="29"/>
      <c r="O586" s="29"/>
      <c r="P586" s="29"/>
    </row>
    <row r="587" spans="1:16" s="29" customFormat="1" ht="25.5" x14ac:dyDescent="0.2">
      <c r="A587" s="31" t="s">
        <v>169</v>
      </c>
      <c r="B587" s="35">
        <v>919</v>
      </c>
      <c r="C587" s="27" t="s">
        <v>31</v>
      </c>
      <c r="D587" s="27" t="s">
        <v>31</v>
      </c>
      <c r="E587" s="27" t="s">
        <v>442</v>
      </c>
      <c r="F587" s="27" t="s">
        <v>66</v>
      </c>
      <c r="G587" s="28">
        <f>4092</f>
        <v>4092</v>
      </c>
      <c r="H587" s="28">
        <f>4092</f>
        <v>4092</v>
      </c>
      <c r="I587" s="28">
        <f>4092</f>
        <v>4092</v>
      </c>
      <c r="J587" s="12"/>
      <c r="K587" s="12"/>
      <c r="L587" s="12"/>
      <c r="M587" s="12"/>
      <c r="N587" s="12"/>
      <c r="O587" s="12"/>
      <c r="P587" s="12"/>
    </row>
    <row r="588" spans="1:16" ht="38.25" x14ac:dyDescent="0.2">
      <c r="A588" s="18" t="s">
        <v>445</v>
      </c>
      <c r="B588" s="22">
        <v>919</v>
      </c>
      <c r="C588" s="19" t="s">
        <v>31</v>
      </c>
      <c r="D588" s="19" t="s">
        <v>31</v>
      </c>
      <c r="E588" s="19" t="s">
        <v>444</v>
      </c>
      <c r="F588" s="19"/>
      <c r="G588" s="20">
        <f>G589+G590+G591</f>
        <v>2889.8</v>
      </c>
      <c r="H588" s="20">
        <f>H589+H590+H591</f>
        <v>2889.8</v>
      </c>
      <c r="I588" s="20">
        <f>I589+I590+I591</f>
        <v>2889.8</v>
      </c>
      <c r="J588" s="29"/>
      <c r="K588" s="29"/>
      <c r="L588" s="29"/>
      <c r="M588" s="29"/>
      <c r="N588" s="29"/>
      <c r="O588" s="29"/>
      <c r="P588" s="29"/>
    </row>
    <row r="589" spans="1:16" s="29" customFormat="1" ht="54" customHeight="1" x14ac:dyDescent="0.2">
      <c r="A589" s="34" t="s">
        <v>67</v>
      </c>
      <c r="B589" s="36">
        <v>919</v>
      </c>
      <c r="C589" s="27" t="s">
        <v>31</v>
      </c>
      <c r="D589" s="27" t="s">
        <v>31</v>
      </c>
      <c r="E589" s="27" t="s">
        <v>444</v>
      </c>
      <c r="F589" s="27" t="s">
        <v>68</v>
      </c>
      <c r="G589" s="28">
        <f>2098.8+633.8+1</f>
        <v>2733.6000000000004</v>
      </c>
      <c r="H589" s="28">
        <f t="shared" ref="H589:I589" si="69">2098.8+633.8+1</f>
        <v>2733.6000000000004</v>
      </c>
      <c r="I589" s="28">
        <f t="shared" si="69"/>
        <v>2733.6000000000004</v>
      </c>
      <c r="J589" s="12"/>
      <c r="K589" s="12"/>
      <c r="L589" s="12"/>
      <c r="M589" s="12"/>
      <c r="N589" s="12"/>
      <c r="O589" s="12"/>
      <c r="P589" s="12"/>
    </row>
    <row r="590" spans="1:16" s="29" customFormat="1" ht="25.5" x14ac:dyDescent="0.2">
      <c r="A590" s="31" t="s">
        <v>77</v>
      </c>
      <c r="B590" s="36">
        <v>919</v>
      </c>
      <c r="C590" s="27" t="s">
        <v>31</v>
      </c>
      <c r="D590" s="27" t="s">
        <v>31</v>
      </c>
      <c r="E590" s="27" t="s">
        <v>444</v>
      </c>
      <c r="F590" s="27" t="s">
        <v>69</v>
      </c>
      <c r="G590" s="28">
        <f>155.2</f>
        <v>155.19999999999999</v>
      </c>
      <c r="H590" s="28">
        <f t="shared" ref="H590:I590" si="70">155.2</f>
        <v>155.19999999999999</v>
      </c>
      <c r="I590" s="28">
        <f t="shared" si="70"/>
        <v>155.19999999999999</v>
      </c>
    </row>
    <row r="591" spans="1:16" s="29" customFormat="1" x14ac:dyDescent="0.2">
      <c r="A591" s="34" t="s">
        <v>73</v>
      </c>
      <c r="B591" s="36">
        <v>919</v>
      </c>
      <c r="C591" s="27" t="s">
        <v>31</v>
      </c>
      <c r="D591" s="27" t="s">
        <v>31</v>
      </c>
      <c r="E591" s="27" t="s">
        <v>444</v>
      </c>
      <c r="F591" s="27" t="s">
        <v>74</v>
      </c>
      <c r="G591" s="28">
        <f>1</f>
        <v>1</v>
      </c>
      <c r="H591" s="28">
        <f>1</f>
        <v>1</v>
      </c>
      <c r="I591" s="28">
        <f>1</f>
        <v>1</v>
      </c>
      <c r="J591" s="9"/>
      <c r="K591" s="9"/>
      <c r="L591" s="9"/>
      <c r="M591" s="9"/>
      <c r="N591" s="9"/>
      <c r="O591" s="9"/>
      <c r="P591" s="9"/>
    </row>
    <row r="592" spans="1:16" s="12" customFormat="1" ht="38.25" x14ac:dyDescent="0.2">
      <c r="A592" s="18" t="s">
        <v>447</v>
      </c>
      <c r="B592" s="22">
        <v>919</v>
      </c>
      <c r="C592" s="19" t="s">
        <v>31</v>
      </c>
      <c r="D592" s="19" t="s">
        <v>31</v>
      </c>
      <c r="E592" s="19" t="s">
        <v>446</v>
      </c>
      <c r="F592" s="5"/>
      <c r="G592" s="6">
        <f>G593</f>
        <v>7964.3</v>
      </c>
      <c r="H592" s="6">
        <f>H593</f>
        <v>7964.3</v>
      </c>
      <c r="I592" s="6">
        <f>I593</f>
        <v>7964.3</v>
      </c>
      <c r="J592" s="3"/>
      <c r="K592" s="3"/>
      <c r="L592" s="3"/>
      <c r="M592" s="3"/>
      <c r="N592" s="3"/>
      <c r="O592" s="3"/>
      <c r="P592" s="3"/>
    </row>
    <row r="593" spans="1:16" s="29" customFormat="1" ht="25.5" x14ac:dyDescent="0.2">
      <c r="A593" s="31" t="s">
        <v>169</v>
      </c>
      <c r="B593" s="35">
        <v>919</v>
      </c>
      <c r="C593" s="27" t="s">
        <v>31</v>
      </c>
      <c r="D593" s="27" t="s">
        <v>31</v>
      </c>
      <c r="E593" s="27" t="s">
        <v>446</v>
      </c>
      <c r="F593" s="27" t="s">
        <v>66</v>
      </c>
      <c r="G593" s="28">
        <f>7964.3</f>
        <v>7964.3</v>
      </c>
      <c r="H593" s="28">
        <f t="shared" ref="H593:I593" si="71">7964.3</f>
        <v>7964.3</v>
      </c>
      <c r="I593" s="28">
        <f t="shared" si="71"/>
        <v>7964.3</v>
      </c>
      <c r="J593" s="21"/>
      <c r="K593" s="21"/>
      <c r="L593" s="21"/>
      <c r="M593" s="21"/>
      <c r="N593" s="21"/>
      <c r="O593" s="21"/>
      <c r="P593" s="21"/>
    </row>
    <row r="594" spans="1:16" s="9" customFormat="1" x14ac:dyDescent="0.2">
      <c r="A594" s="11" t="s">
        <v>53</v>
      </c>
      <c r="B594" s="14">
        <v>919</v>
      </c>
      <c r="C594" s="8" t="s">
        <v>52</v>
      </c>
      <c r="D594" s="8"/>
      <c r="E594" s="8"/>
      <c r="F594" s="8"/>
      <c r="G594" s="4">
        <f>G595+G598</f>
        <v>3530.2999999999997</v>
      </c>
      <c r="H594" s="4">
        <f>H595+H598</f>
        <v>3530.2999999999997</v>
      </c>
      <c r="I594" s="4">
        <f>I595+I598</f>
        <v>3530.2999999999997</v>
      </c>
      <c r="J594" s="21"/>
      <c r="K594" s="21"/>
      <c r="L594" s="21"/>
      <c r="M594" s="21"/>
      <c r="N594" s="21"/>
      <c r="O594" s="21"/>
      <c r="P594" s="21"/>
    </row>
    <row r="595" spans="1:16" s="3" customFormat="1" x14ac:dyDescent="0.2">
      <c r="A595" s="13" t="s">
        <v>56</v>
      </c>
      <c r="B595" s="50">
        <v>919</v>
      </c>
      <c r="C595" s="1" t="s">
        <v>52</v>
      </c>
      <c r="D595" s="1" t="s">
        <v>16</v>
      </c>
      <c r="E595" s="1"/>
      <c r="F595" s="1"/>
      <c r="G595" s="2">
        <f t="shared" ref="G595:I596" si="72">G596</f>
        <v>163</v>
      </c>
      <c r="H595" s="2">
        <f t="shared" si="72"/>
        <v>163</v>
      </c>
      <c r="I595" s="2">
        <f t="shared" si="72"/>
        <v>163</v>
      </c>
      <c r="J595" s="29"/>
      <c r="K595" s="29"/>
      <c r="L595" s="29"/>
      <c r="M595" s="29"/>
      <c r="N595" s="29"/>
      <c r="O595" s="29"/>
      <c r="P595" s="29"/>
    </row>
    <row r="596" spans="1:16" ht="63.75" x14ac:dyDescent="0.2">
      <c r="A596" s="18" t="s">
        <v>392</v>
      </c>
      <c r="B596" s="65">
        <v>919</v>
      </c>
      <c r="C596" s="19" t="s">
        <v>52</v>
      </c>
      <c r="D596" s="19" t="s">
        <v>16</v>
      </c>
      <c r="E596" s="19" t="s">
        <v>104</v>
      </c>
      <c r="F596" s="19"/>
      <c r="G596" s="20">
        <f t="shared" si="72"/>
        <v>163</v>
      </c>
      <c r="H596" s="20">
        <f t="shared" si="72"/>
        <v>163</v>
      </c>
      <c r="I596" s="20">
        <f t="shared" si="72"/>
        <v>163</v>
      </c>
    </row>
    <row r="597" spans="1:16" s="29" customFormat="1" x14ac:dyDescent="0.2">
      <c r="A597" s="31" t="s">
        <v>70</v>
      </c>
      <c r="B597" s="35">
        <v>919</v>
      </c>
      <c r="C597" s="27" t="s">
        <v>52</v>
      </c>
      <c r="D597" s="27" t="s">
        <v>16</v>
      </c>
      <c r="E597" s="19" t="s">
        <v>104</v>
      </c>
      <c r="F597" s="27" t="s">
        <v>71</v>
      </c>
      <c r="G597" s="28">
        <f>163</f>
        <v>163</v>
      </c>
      <c r="H597" s="28">
        <f>163</f>
        <v>163</v>
      </c>
      <c r="I597" s="28">
        <f>163</f>
        <v>163</v>
      </c>
    </row>
    <row r="598" spans="1:16" s="9" customFormat="1" x14ac:dyDescent="0.2">
      <c r="A598" s="11" t="s">
        <v>58</v>
      </c>
      <c r="B598" s="14">
        <v>919</v>
      </c>
      <c r="C598" s="8" t="s">
        <v>52</v>
      </c>
      <c r="D598" s="8" t="s">
        <v>51</v>
      </c>
      <c r="E598" s="8"/>
      <c r="F598" s="8"/>
      <c r="G598" s="4">
        <f>G599+G601+G603</f>
        <v>3367.2999999999997</v>
      </c>
      <c r="H598" s="4">
        <f>H599+H601+H603</f>
        <v>3367.2999999999997</v>
      </c>
      <c r="I598" s="4">
        <f>I599+I601+I603</f>
        <v>3367.2999999999997</v>
      </c>
      <c r="J598" s="21"/>
      <c r="K598" s="21"/>
      <c r="L598" s="21"/>
      <c r="M598" s="21"/>
      <c r="N598" s="21"/>
      <c r="O598" s="21"/>
      <c r="P598" s="21"/>
    </row>
    <row r="599" spans="1:16" x14ac:dyDescent="0.2">
      <c r="A599" s="18" t="s">
        <v>448</v>
      </c>
      <c r="B599" s="22">
        <v>919</v>
      </c>
      <c r="C599" s="19" t="s">
        <v>52</v>
      </c>
      <c r="D599" s="19" t="s">
        <v>51</v>
      </c>
      <c r="E599" s="19" t="s">
        <v>449</v>
      </c>
      <c r="F599" s="19"/>
      <c r="G599" s="20">
        <f>G600</f>
        <v>516.6</v>
      </c>
      <c r="H599" s="20">
        <f>H600</f>
        <v>516.6</v>
      </c>
      <c r="I599" s="20">
        <f>I600</f>
        <v>516.6</v>
      </c>
      <c r="O599" s="29"/>
      <c r="P599" s="29"/>
    </row>
    <row r="600" spans="1:16" s="29" customFormat="1" ht="14.25" x14ac:dyDescent="0.2">
      <c r="A600" s="31" t="s">
        <v>70</v>
      </c>
      <c r="B600" s="35">
        <v>919</v>
      </c>
      <c r="C600" s="27" t="s">
        <v>52</v>
      </c>
      <c r="D600" s="27" t="s">
        <v>51</v>
      </c>
      <c r="E600" s="27" t="s">
        <v>449</v>
      </c>
      <c r="F600" s="27" t="s">
        <v>71</v>
      </c>
      <c r="G600" s="28">
        <f>516.6</f>
        <v>516.6</v>
      </c>
      <c r="H600" s="28">
        <f t="shared" ref="H600:I600" si="73">516.6</f>
        <v>516.6</v>
      </c>
      <c r="I600" s="28">
        <f t="shared" si="73"/>
        <v>516.6</v>
      </c>
      <c r="J600" s="39"/>
      <c r="K600" s="39"/>
      <c r="L600" s="39"/>
      <c r="M600" s="15"/>
      <c r="N600" s="15"/>
      <c r="O600" s="15"/>
      <c r="P600" s="15"/>
    </row>
    <row r="601" spans="1:16" ht="25.5" x14ac:dyDescent="0.2">
      <c r="A601" s="18" t="s">
        <v>451</v>
      </c>
      <c r="B601" s="18">
        <v>919</v>
      </c>
      <c r="C601" s="19" t="s">
        <v>52</v>
      </c>
      <c r="D601" s="19" t="s">
        <v>51</v>
      </c>
      <c r="E601" s="19" t="s">
        <v>450</v>
      </c>
      <c r="F601" s="19"/>
      <c r="G601" s="20">
        <f>G602</f>
        <v>2706.7</v>
      </c>
      <c r="H601" s="20">
        <f>H602</f>
        <v>2706.7</v>
      </c>
      <c r="I601" s="20">
        <f>I602</f>
        <v>2706.7</v>
      </c>
      <c r="J601" s="23"/>
      <c r="K601" s="23"/>
      <c r="L601" s="23"/>
    </row>
    <row r="602" spans="1:16" s="29" customFormat="1" x14ac:dyDescent="0.2">
      <c r="A602" s="31" t="s">
        <v>70</v>
      </c>
      <c r="B602" s="31">
        <v>919</v>
      </c>
      <c r="C602" s="27" t="s">
        <v>52</v>
      </c>
      <c r="D602" s="27" t="s">
        <v>51</v>
      </c>
      <c r="E602" s="27" t="s">
        <v>450</v>
      </c>
      <c r="F602" s="27" t="s">
        <v>71</v>
      </c>
      <c r="G602" s="28">
        <f>2706.7</f>
        <v>2706.7</v>
      </c>
      <c r="H602" s="28">
        <f t="shared" ref="H602:I602" si="74">2706.7</f>
        <v>2706.7</v>
      </c>
      <c r="I602" s="28">
        <f t="shared" si="74"/>
        <v>2706.7</v>
      </c>
      <c r="J602" s="23"/>
      <c r="K602" s="23"/>
      <c r="L602" s="23"/>
      <c r="M602" s="21"/>
      <c r="N602" s="21"/>
      <c r="O602" s="21"/>
      <c r="P602" s="21"/>
    </row>
    <row r="603" spans="1:16" ht="76.5" x14ac:dyDescent="0.2">
      <c r="A603" s="90" t="s">
        <v>453</v>
      </c>
      <c r="B603" s="74">
        <v>919</v>
      </c>
      <c r="C603" s="19" t="s">
        <v>52</v>
      </c>
      <c r="D603" s="19" t="s">
        <v>51</v>
      </c>
      <c r="E603" s="19" t="s">
        <v>452</v>
      </c>
      <c r="F603" s="19"/>
      <c r="G603" s="20">
        <f>G604</f>
        <v>144</v>
      </c>
      <c r="H603" s="20">
        <f>H604</f>
        <v>144</v>
      </c>
      <c r="I603" s="20">
        <f>I604</f>
        <v>144</v>
      </c>
    </row>
    <row r="604" spans="1:16" s="29" customFormat="1" x14ac:dyDescent="0.2">
      <c r="A604" s="89" t="s">
        <v>70</v>
      </c>
      <c r="B604" s="31">
        <v>919</v>
      </c>
      <c r="C604" s="27" t="s">
        <v>52</v>
      </c>
      <c r="D604" s="27" t="s">
        <v>51</v>
      </c>
      <c r="E604" s="27" t="s">
        <v>452</v>
      </c>
      <c r="F604" s="27" t="s">
        <v>71</v>
      </c>
      <c r="G604" s="28">
        <f>144</f>
        <v>144</v>
      </c>
      <c r="H604" s="28">
        <f>144</f>
        <v>144</v>
      </c>
      <c r="I604" s="28">
        <f>144</f>
        <v>144</v>
      </c>
      <c r="J604" s="23"/>
      <c r="K604" s="23"/>
      <c r="L604" s="23"/>
      <c r="M604" s="21"/>
      <c r="N604" s="21"/>
      <c r="O604" s="21"/>
      <c r="P604" s="21"/>
    </row>
    <row r="605" spans="1:16" s="15" customFormat="1" ht="15" x14ac:dyDescent="0.25">
      <c r="A605" s="41" t="s">
        <v>59</v>
      </c>
      <c r="B605" s="53"/>
      <c r="C605" s="42"/>
      <c r="D605" s="42"/>
      <c r="E605" s="42"/>
      <c r="F605" s="42"/>
      <c r="G605" s="43">
        <f>G531+G517+G405+G368+G258+G244+G235+G195+G164+G10</f>
        <v>2414660.7999999998</v>
      </c>
      <c r="H605" s="43">
        <f t="shared" ref="H605:I605" si="75">H531+H517+H405+H368+H258+H244+H235+H195+H164+H10</f>
        <v>2160059.9</v>
      </c>
      <c r="I605" s="43">
        <f t="shared" si="75"/>
        <v>2242476</v>
      </c>
      <c r="J605" s="23"/>
      <c r="K605" s="23"/>
      <c r="L605" s="23"/>
      <c r="M605" s="21"/>
      <c r="N605" s="21"/>
      <c r="O605" s="21"/>
      <c r="P605" s="21"/>
    </row>
    <row r="606" spans="1:16" x14ac:dyDescent="0.2">
      <c r="G606" s="64">
        <f>[1]нов.!$G$570</f>
        <v>2414660.8000000003</v>
      </c>
      <c r="H606" s="64">
        <f>[1]нов.!$H$570</f>
        <v>2160059.9000000004</v>
      </c>
      <c r="I606" s="64">
        <f>[1]нов.!$I$570</f>
        <v>2242476</v>
      </c>
      <c r="J606" s="23"/>
      <c r="K606" s="23"/>
      <c r="L606" s="23"/>
    </row>
    <row r="607" spans="1:16" x14ac:dyDescent="0.2">
      <c r="G607" s="64">
        <f>G606-G605</f>
        <v>0</v>
      </c>
      <c r="H607" s="64">
        <f>H606-H605</f>
        <v>0</v>
      </c>
      <c r="I607" s="64">
        <f>I606-I605</f>
        <v>0</v>
      </c>
      <c r="J607" s="23"/>
      <c r="K607" s="23"/>
      <c r="L607" s="23"/>
    </row>
    <row r="608" spans="1:16" ht="25.5" x14ac:dyDescent="0.2">
      <c r="A608" s="40" t="s">
        <v>65</v>
      </c>
      <c r="B608" s="37"/>
      <c r="F608" s="64"/>
      <c r="G608" s="70"/>
      <c r="H608" s="70"/>
      <c r="I608" s="83" t="s">
        <v>81</v>
      </c>
      <c r="J608" s="23"/>
      <c r="K608" s="23"/>
      <c r="L608" s="23"/>
    </row>
    <row r="609" spans="3:12" x14ac:dyDescent="0.2">
      <c r="J609" s="23"/>
      <c r="K609" s="23"/>
      <c r="L609" s="23"/>
    </row>
    <row r="610" spans="3:12" x14ac:dyDescent="0.2">
      <c r="E610" s="37" t="s">
        <v>6</v>
      </c>
      <c r="J610" s="23"/>
      <c r="K610" s="23"/>
      <c r="L610" s="23"/>
    </row>
    <row r="611" spans="3:12" x14ac:dyDescent="0.2">
      <c r="G611" s="86"/>
      <c r="H611" s="86"/>
      <c r="I611" s="86"/>
      <c r="J611" s="23"/>
      <c r="K611" s="23"/>
      <c r="L611" s="23"/>
    </row>
    <row r="612" spans="3:12" x14ac:dyDescent="0.2">
      <c r="G612" s="64"/>
      <c r="H612" s="64"/>
      <c r="I612" s="64"/>
      <c r="J612" s="64"/>
      <c r="K612" s="23"/>
      <c r="L612" s="23"/>
    </row>
    <row r="613" spans="3:12" x14ac:dyDescent="0.2">
      <c r="G613" s="64"/>
      <c r="H613" s="64"/>
      <c r="I613" s="64"/>
      <c r="J613" s="23"/>
    </row>
    <row r="614" spans="3:12" x14ac:dyDescent="0.2">
      <c r="G614" s="64"/>
      <c r="H614" s="64"/>
      <c r="I614" s="64"/>
    </row>
    <row r="615" spans="3:12" x14ac:dyDescent="0.2">
      <c r="G615" s="64"/>
      <c r="H615" s="64"/>
      <c r="I615" s="64"/>
    </row>
    <row r="618" spans="3:12" x14ac:dyDescent="0.2">
      <c r="C618" s="21"/>
      <c r="D618" s="21"/>
      <c r="E618" s="21"/>
      <c r="F618" s="21"/>
      <c r="G618" s="21"/>
      <c r="H618" s="21"/>
      <c r="I618" s="21"/>
    </row>
    <row r="619" spans="3:12" x14ac:dyDescent="0.2">
      <c r="C619" s="21"/>
      <c r="D619" s="21"/>
      <c r="E619" s="21"/>
      <c r="F619" s="21"/>
      <c r="G619" s="21"/>
      <c r="H619" s="21"/>
      <c r="I619" s="21"/>
    </row>
    <row r="620" spans="3:12" x14ac:dyDescent="0.2">
      <c r="C620" s="21"/>
      <c r="D620" s="21"/>
      <c r="E620" s="21"/>
      <c r="F620" s="21"/>
      <c r="G620" s="21"/>
      <c r="H620" s="21"/>
      <c r="I620" s="21"/>
    </row>
    <row r="621" spans="3:12" x14ac:dyDescent="0.2">
      <c r="C621" s="21"/>
      <c r="D621" s="21"/>
      <c r="E621" s="21"/>
      <c r="F621" s="21"/>
      <c r="G621" s="21"/>
      <c r="H621" s="21"/>
      <c r="I621" s="21"/>
    </row>
  </sheetData>
  <autoFilter ref="A9:P612"/>
  <customSheetViews>
    <customSheetView guid="{569C28AC-508A-42E7-9335-028897488E30}" showPageBreaks="1" hiddenRows="1" showRuler="0">
      <pane xSplit="1" ySplit="7" topLeftCell="B9" activePane="bottomRight" state="frozen"/>
      <selection pane="bottomRight" activeCell="J4" sqref="J4"/>
      <pageMargins left="0.19685039370078741" right="0.19685039370078741" top="0.78740157480314965" bottom="0.39370078740157483" header="0.51181102362204722" footer="0.51181102362204722"/>
      <pageSetup paperSize="9" orientation="landscape" r:id="rId1"/>
      <headerFooter alignWithMargins="0">
        <oddHeader>&amp;C&amp;P</oddHeader>
      </headerFooter>
    </customSheetView>
    <customSheetView guid="{AB8DF83A-FB6E-48A4-952A-1147FB4C2AE7}" showPageBreaks="1" printArea="1" showRuler="0">
      <pane xSplit="1" ySplit="9" topLeftCell="B355" activePane="bottomRight" state="frozen"/>
      <selection pane="bottomRight" activeCell="I368" sqref="I368"/>
      <pageMargins left="0.19685039370078741" right="0.19685039370078741" top="0.39370078740157483" bottom="0.19685039370078741" header="0.31496062992125984" footer="0.51181102362204722"/>
      <pageSetup paperSize="9" orientation="landscape" r:id="rId2"/>
      <headerFooter alignWithMargins="0"/>
    </customSheetView>
    <customSheetView guid="{03BC1D99-56E3-404F-AC0E-FE8E84323C69}" showPageBreaks="1" showRuler="0">
      <pane xSplit="1" ySplit="9" topLeftCell="B272" activePane="bottomRight" state="frozen"/>
      <selection pane="bottomRight" activeCell="H275" sqref="H275"/>
      <pageMargins left="0.19685039370078741" right="0.19685039370078741" top="0.19685039370078741" bottom="0.19685039370078741" header="0.51181102362204722" footer="0.51181102362204722"/>
      <pageSetup paperSize="9" orientation="landscape" r:id="rId3"/>
      <headerFooter alignWithMargins="0">
        <oddHeader>&amp;C&amp;P</oddHeader>
      </headerFooter>
    </customSheetView>
  </customSheetViews>
  <mergeCells count="12">
    <mergeCell ref="A5:I5"/>
    <mergeCell ref="A6:I6"/>
    <mergeCell ref="H8:H9"/>
    <mergeCell ref="I8:I9"/>
    <mergeCell ref="E8:E9"/>
    <mergeCell ref="B8:B9"/>
    <mergeCell ref="F8:F9"/>
    <mergeCell ref="G8:G9"/>
    <mergeCell ref="A7:G7"/>
    <mergeCell ref="A8:A9"/>
    <mergeCell ref="C8:C9"/>
    <mergeCell ref="D8:D9"/>
  </mergeCells>
  <phoneticPr fontId="7" type="noConversion"/>
  <pageMargins left="0.43307086614173229" right="0.19685039370078741" top="0.27559055118110237" bottom="0.31" header="0.15748031496062992" footer="0.16"/>
  <pageSetup paperSize="9" scale="77" fitToHeight="100" orientation="portrait" r:id="rId4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1"/>
  <sheetViews>
    <sheetView tabSelected="1" zoomScaleNormal="100" workbookViewId="0">
      <pane xSplit="1" ySplit="9" topLeftCell="B355" activePane="bottomRight" state="frozen"/>
      <selection pane="topRight"/>
      <selection pane="bottomLeft"/>
      <selection pane="bottomRight" activeCell="K6" sqref="K6"/>
    </sheetView>
  </sheetViews>
  <sheetFormatPr defaultColWidth="9.140625" defaultRowHeight="12.75" x14ac:dyDescent="0.2"/>
  <cols>
    <col min="1" max="1" width="53.5703125" style="21" customWidth="1"/>
    <col min="2" max="2" width="6.28515625" style="21" customWidth="1"/>
    <col min="3" max="3" width="4.85546875" style="37" customWidth="1"/>
    <col min="4" max="4" width="6.140625" style="37" customWidth="1"/>
    <col min="5" max="5" width="15.42578125" style="37" customWidth="1"/>
    <col min="6" max="6" width="5.85546875" style="37" customWidth="1"/>
    <col min="7" max="9" width="12.140625" style="37" customWidth="1"/>
    <col min="10" max="10" width="10" style="21" customWidth="1"/>
    <col min="11" max="11" width="11" style="21" customWidth="1"/>
    <col min="12" max="12" width="10.28515625" style="21" customWidth="1"/>
    <col min="13" max="13" width="10.42578125" style="21" customWidth="1"/>
    <col min="14" max="15" width="9.140625" style="21" customWidth="1"/>
    <col min="16" max="16384" width="9.140625" style="21"/>
  </cols>
  <sheetData>
    <row r="1" spans="1:12" x14ac:dyDescent="0.2">
      <c r="F1" s="40"/>
      <c r="G1" s="40"/>
      <c r="H1" s="40"/>
      <c r="I1" s="81" t="s">
        <v>87</v>
      </c>
    </row>
    <row r="2" spans="1:12" x14ac:dyDescent="0.2">
      <c r="F2" s="40"/>
      <c r="G2" s="40"/>
      <c r="H2" s="40"/>
      <c r="I2" s="81" t="s">
        <v>79</v>
      </c>
    </row>
    <row r="3" spans="1:12" x14ac:dyDescent="0.2">
      <c r="F3" s="40"/>
      <c r="G3" s="40"/>
      <c r="H3" s="40"/>
      <c r="I3" s="81" t="s">
        <v>165</v>
      </c>
    </row>
    <row r="4" spans="1:12" x14ac:dyDescent="0.2">
      <c r="I4" s="82"/>
    </row>
    <row r="5" spans="1:12" s="24" customFormat="1" ht="18.75" x14ac:dyDescent="0.3">
      <c r="A5" s="91" t="s">
        <v>86</v>
      </c>
      <c r="B5" s="91"/>
      <c r="C5" s="91"/>
      <c r="D5" s="91"/>
      <c r="E5" s="91"/>
      <c r="F5" s="91"/>
      <c r="G5" s="91"/>
      <c r="H5" s="91"/>
      <c r="I5" s="91"/>
    </row>
    <row r="6" spans="1:12" s="24" customFormat="1" ht="18.75" x14ac:dyDescent="0.3">
      <c r="A6" s="92" t="s">
        <v>164</v>
      </c>
      <c r="B6" s="92"/>
      <c r="C6" s="92"/>
      <c r="D6" s="92"/>
      <c r="E6" s="92"/>
      <c r="F6" s="92"/>
      <c r="G6" s="92"/>
      <c r="H6" s="92"/>
      <c r="I6" s="92"/>
    </row>
    <row r="7" spans="1:12" s="25" customFormat="1" ht="13.5" thickBot="1" x14ac:dyDescent="0.25">
      <c r="A7" s="97"/>
      <c r="B7" s="97"/>
      <c r="C7" s="97"/>
      <c r="D7" s="97"/>
      <c r="E7" s="97"/>
      <c r="F7" s="97"/>
      <c r="G7" s="97"/>
      <c r="I7" s="25" t="s">
        <v>63</v>
      </c>
    </row>
    <row r="8" spans="1:12" x14ac:dyDescent="0.2">
      <c r="A8" s="98"/>
      <c r="B8" s="95" t="s">
        <v>60</v>
      </c>
      <c r="C8" s="95" t="s">
        <v>8</v>
      </c>
      <c r="D8" s="95" t="s">
        <v>9</v>
      </c>
      <c r="E8" s="95" t="s">
        <v>10</v>
      </c>
      <c r="F8" s="95" t="s">
        <v>11</v>
      </c>
      <c r="G8" s="93" t="s">
        <v>166</v>
      </c>
      <c r="H8" s="93" t="s">
        <v>167</v>
      </c>
      <c r="I8" s="93" t="s">
        <v>168</v>
      </c>
    </row>
    <row r="9" spans="1:12" x14ac:dyDescent="0.2">
      <c r="A9" s="99"/>
      <c r="B9" s="96"/>
      <c r="C9" s="96"/>
      <c r="D9" s="96"/>
      <c r="E9" s="96"/>
      <c r="F9" s="96"/>
      <c r="G9" s="94"/>
      <c r="H9" s="94"/>
      <c r="I9" s="94"/>
    </row>
    <row r="10" spans="1:12" s="10" customFormat="1" ht="25.5" x14ac:dyDescent="0.2">
      <c r="A10" s="44" t="s">
        <v>45</v>
      </c>
      <c r="B10" s="45">
        <v>900</v>
      </c>
      <c r="C10" s="46"/>
      <c r="D10" s="46"/>
      <c r="E10" s="46"/>
      <c r="F10" s="57"/>
      <c r="G10" s="47">
        <f>G11+G46+G58+G67+G82+G87+G101</f>
        <v>478954.70000000007</v>
      </c>
      <c r="H10" s="47">
        <f t="shared" ref="H10:I10" si="0">H11+H46+H58+H67+H82+H87+H101</f>
        <v>279958.89999999997</v>
      </c>
      <c r="I10" s="47">
        <f t="shared" si="0"/>
        <v>338870.3</v>
      </c>
      <c r="J10" s="86"/>
      <c r="K10" s="86"/>
      <c r="L10" s="86"/>
    </row>
    <row r="11" spans="1:12" s="62" customFormat="1" x14ac:dyDescent="0.2">
      <c r="A11" s="59" t="s">
        <v>61</v>
      </c>
      <c r="B11" s="50">
        <v>900</v>
      </c>
      <c r="C11" s="1" t="s">
        <v>12</v>
      </c>
      <c r="D11" s="60"/>
      <c r="E11" s="60"/>
      <c r="F11" s="61"/>
      <c r="G11" s="2">
        <f>G12+G15+G28</f>
        <v>61183.700000000012</v>
      </c>
      <c r="H11" s="2">
        <f t="shared" ref="H11:I11" si="1">H12+H15+H28</f>
        <v>58347.8</v>
      </c>
      <c r="I11" s="2">
        <f t="shared" si="1"/>
        <v>58346.8</v>
      </c>
    </row>
    <row r="12" spans="1:12" s="9" customFormat="1" ht="38.25" x14ac:dyDescent="0.2">
      <c r="A12" s="11" t="s">
        <v>13</v>
      </c>
      <c r="B12" s="14">
        <v>900</v>
      </c>
      <c r="C12" s="8" t="s">
        <v>12</v>
      </c>
      <c r="D12" s="8" t="s">
        <v>14</v>
      </c>
      <c r="E12" s="8"/>
      <c r="F12" s="8"/>
      <c r="G12" s="4">
        <f t="shared" ref="G12:I13" si="2">G13</f>
        <v>1053.8</v>
      </c>
      <c r="H12" s="4">
        <f t="shared" si="2"/>
        <v>1053.8</v>
      </c>
      <c r="I12" s="4">
        <f t="shared" si="2"/>
        <v>1053.8</v>
      </c>
    </row>
    <row r="13" spans="1:12" ht="25.5" x14ac:dyDescent="0.2">
      <c r="A13" s="18" t="s">
        <v>171</v>
      </c>
      <c r="B13" s="22">
        <v>900</v>
      </c>
      <c r="C13" s="19" t="s">
        <v>12</v>
      </c>
      <c r="D13" s="19" t="s">
        <v>14</v>
      </c>
      <c r="E13" s="19" t="s">
        <v>170</v>
      </c>
      <c r="F13" s="19"/>
      <c r="G13" s="20">
        <f t="shared" si="2"/>
        <v>1053.8</v>
      </c>
      <c r="H13" s="20">
        <f t="shared" si="2"/>
        <v>1053.8</v>
      </c>
      <c r="I13" s="20">
        <f t="shared" si="2"/>
        <v>1053.8</v>
      </c>
    </row>
    <row r="14" spans="1:12" s="29" customFormat="1" ht="51.75" customHeight="1" x14ac:dyDescent="0.2">
      <c r="A14" s="34" t="s">
        <v>67</v>
      </c>
      <c r="B14" s="36">
        <v>900</v>
      </c>
      <c r="C14" s="27" t="s">
        <v>12</v>
      </c>
      <c r="D14" s="27" t="s">
        <v>14</v>
      </c>
      <c r="E14" s="27" t="s">
        <v>170</v>
      </c>
      <c r="F14" s="30" t="s">
        <v>68</v>
      </c>
      <c r="G14" s="28">
        <f>771+50+232.8</f>
        <v>1053.8</v>
      </c>
      <c r="H14" s="28">
        <f t="shared" ref="H14:I14" si="3">771+50+232.8</f>
        <v>1053.8</v>
      </c>
      <c r="I14" s="28">
        <f t="shared" si="3"/>
        <v>1053.8</v>
      </c>
    </row>
    <row r="15" spans="1:12" s="9" customFormat="1" ht="51" x14ac:dyDescent="0.2">
      <c r="A15" s="11" t="s">
        <v>17</v>
      </c>
      <c r="B15" s="14">
        <v>900</v>
      </c>
      <c r="C15" s="8" t="s">
        <v>12</v>
      </c>
      <c r="D15" s="8" t="s">
        <v>18</v>
      </c>
      <c r="E15" s="8"/>
      <c r="F15" s="8"/>
      <c r="G15" s="4">
        <f>G16+G19+G21+G25</f>
        <v>39153.800000000003</v>
      </c>
      <c r="H15" s="4">
        <f>H16+H19+H21+H25</f>
        <v>37471.800000000003</v>
      </c>
      <c r="I15" s="4">
        <f>I16+I19+I21+I25</f>
        <v>37470.800000000003</v>
      </c>
    </row>
    <row r="16" spans="1:12" ht="25.5" x14ac:dyDescent="0.2">
      <c r="A16" s="18" t="s">
        <v>172</v>
      </c>
      <c r="B16" s="22">
        <v>900</v>
      </c>
      <c r="C16" s="19" t="s">
        <v>12</v>
      </c>
      <c r="D16" s="19" t="s">
        <v>18</v>
      </c>
      <c r="E16" s="19" t="s">
        <v>98</v>
      </c>
      <c r="F16" s="19"/>
      <c r="G16" s="20">
        <f>G17+G18</f>
        <v>332</v>
      </c>
      <c r="H16" s="20">
        <f>H17+H18</f>
        <v>330</v>
      </c>
      <c r="I16" s="20">
        <f>I17+I18</f>
        <v>329</v>
      </c>
    </row>
    <row r="17" spans="1:14" s="29" customFormat="1" ht="52.5" customHeight="1" x14ac:dyDescent="0.2">
      <c r="A17" s="26" t="s">
        <v>67</v>
      </c>
      <c r="B17" s="35">
        <v>900</v>
      </c>
      <c r="C17" s="27" t="s">
        <v>12</v>
      </c>
      <c r="D17" s="27" t="s">
        <v>18</v>
      </c>
      <c r="E17" s="27" t="s">
        <v>98</v>
      </c>
      <c r="F17" s="30" t="s">
        <v>68</v>
      </c>
      <c r="G17" s="28">
        <f>303.7</f>
        <v>303.7</v>
      </c>
      <c r="H17" s="28">
        <f t="shared" ref="H17:I17" si="4">303.7</f>
        <v>303.7</v>
      </c>
      <c r="I17" s="28">
        <f t="shared" si="4"/>
        <v>303.7</v>
      </c>
      <c r="J17" s="21"/>
      <c r="K17" s="21"/>
      <c r="L17" s="21"/>
      <c r="M17" s="21"/>
      <c r="N17" s="21"/>
    </row>
    <row r="18" spans="1:14" s="29" customFormat="1" ht="25.5" x14ac:dyDescent="0.2">
      <c r="A18" s="26" t="s">
        <v>151</v>
      </c>
      <c r="B18" s="35">
        <v>900</v>
      </c>
      <c r="C18" s="27" t="s">
        <v>12</v>
      </c>
      <c r="D18" s="27" t="s">
        <v>18</v>
      </c>
      <c r="E18" s="27" t="s">
        <v>98</v>
      </c>
      <c r="F18" s="30" t="s">
        <v>69</v>
      </c>
      <c r="G18" s="28">
        <f>28.3</f>
        <v>28.3</v>
      </c>
      <c r="H18" s="28">
        <f>26.3</f>
        <v>26.3</v>
      </c>
      <c r="I18" s="28">
        <f>25.3</f>
        <v>25.3</v>
      </c>
      <c r="J18" s="21"/>
      <c r="K18" s="21"/>
      <c r="L18" s="21"/>
      <c r="M18" s="21"/>
      <c r="N18" s="21"/>
    </row>
    <row r="19" spans="1:14" ht="15" customHeight="1" x14ac:dyDescent="0.2">
      <c r="A19" s="18" t="s">
        <v>173</v>
      </c>
      <c r="B19" s="22">
        <v>900</v>
      </c>
      <c r="C19" s="19" t="s">
        <v>12</v>
      </c>
      <c r="D19" s="19" t="s">
        <v>18</v>
      </c>
      <c r="E19" s="19" t="s">
        <v>97</v>
      </c>
      <c r="F19" s="19"/>
      <c r="G19" s="20">
        <f>G20</f>
        <v>115</v>
      </c>
      <c r="H19" s="20">
        <f>H20</f>
        <v>115</v>
      </c>
      <c r="I19" s="20">
        <f>I20</f>
        <v>115</v>
      </c>
    </row>
    <row r="20" spans="1:14" s="29" customFormat="1" ht="51.75" customHeight="1" x14ac:dyDescent="0.2">
      <c r="A20" s="26" t="s">
        <v>67</v>
      </c>
      <c r="B20" s="35">
        <v>900</v>
      </c>
      <c r="C20" s="27" t="s">
        <v>12</v>
      </c>
      <c r="D20" s="27" t="s">
        <v>18</v>
      </c>
      <c r="E20" s="27" t="s">
        <v>97</v>
      </c>
      <c r="F20" s="30" t="s">
        <v>68</v>
      </c>
      <c r="G20" s="28">
        <f>115</f>
        <v>115</v>
      </c>
      <c r="H20" s="28">
        <f>115</f>
        <v>115</v>
      </c>
      <c r="I20" s="28">
        <f>115</f>
        <v>115</v>
      </c>
      <c r="J20" s="21"/>
      <c r="K20" s="21"/>
      <c r="L20" s="21"/>
      <c r="M20" s="21"/>
      <c r="N20" s="21"/>
    </row>
    <row r="21" spans="1:14" ht="25.5" x14ac:dyDescent="0.2">
      <c r="A21" s="18" t="s">
        <v>175</v>
      </c>
      <c r="B21" s="22">
        <v>900</v>
      </c>
      <c r="C21" s="19" t="s">
        <v>12</v>
      </c>
      <c r="D21" s="19" t="s">
        <v>18</v>
      </c>
      <c r="E21" s="19" t="s">
        <v>174</v>
      </c>
      <c r="F21" s="19"/>
      <c r="G21" s="20">
        <f>G22+G23+G24</f>
        <v>36515.9</v>
      </c>
      <c r="H21" s="20">
        <f>H22+H23+H24</f>
        <v>34835.9</v>
      </c>
      <c r="I21" s="20">
        <f>I22+I23+I24</f>
        <v>34835.9</v>
      </c>
    </row>
    <row r="22" spans="1:14" s="29" customFormat="1" ht="51" customHeight="1" x14ac:dyDescent="0.2">
      <c r="A22" s="34" t="s">
        <v>67</v>
      </c>
      <c r="B22" s="36">
        <v>900</v>
      </c>
      <c r="C22" s="27" t="s">
        <v>12</v>
      </c>
      <c r="D22" s="27" t="s">
        <v>18</v>
      </c>
      <c r="E22" s="27" t="s">
        <v>174</v>
      </c>
      <c r="F22" s="30" t="s">
        <v>68</v>
      </c>
      <c r="G22" s="28">
        <f>16028.2+4840.6+100</f>
        <v>20968.800000000003</v>
      </c>
      <c r="H22" s="28">
        <f t="shared" ref="H22:I22" si="5">16028.2+4840.6+100</f>
        <v>20968.800000000003</v>
      </c>
      <c r="I22" s="28">
        <f t="shared" si="5"/>
        <v>20968.800000000003</v>
      </c>
    </row>
    <row r="23" spans="1:14" s="29" customFormat="1" ht="25.5" x14ac:dyDescent="0.2">
      <c r="A23" s="31" t="s">
        <v>77</v>
      </c>
      <c r="B23" s="36">
        <v>900</v>
      </c>
      <c r="C23" s="27" t="s">
        <v>12</v>
      </c>
      <c r="D23" s="27" t="s">
        <v>18</v>
      </c>
      <c r="E23" s="27" t="s">
        <v>174</v>
      </c>
      <c r="F23" s="30" t="s">
        <v>69</v>
      </c>
      <c r="G23" s="28">
        <v>15271.6</v>
      </c>
      <c r="H23" s="28">
        <v>13591.6</v>
      </c>
      <c r="I23" s="28">
        <v>13591.6</v>
      </c>
    </row>
    <row r="24" spans="1:14" s="29" customFormat="1" x14ac:dyDescent="0.2">
      <c r="A24" s="31" t="s">
        <v>73</v>
      </c>
      <c r="B24" s="35">
        <v>900</v>
      </c>
      <c r="C24" s="27" t="s">
        <v>12</v>
      </c>
      <c r="D24" s="27" t="s">
        <v>18</v>
      </c>
      <c r="E24" s="27" t="s">
        <v>174</v>
      </c>
      <c r="F24" s="27" t="s">
        <v>74</v>
      </c>
      <c r="G24" s="28">
        <v>275.5</v>
      </c>
      <c r="H24" s="28">
        <v>275.5</v>
      </c>
      <c r="I24" s="28">
        <v>275.5</v>
      </c>
    </row>
    <row r="25" spans="1:14" ht="25.5" x14ac:dyDescent="0.2">
      <c r="A25" s="18" t="s">
        <v>176</v>
      </c>
      <c r="B25" s="22">
        <v>900</v>
      </c>
      <c r="C25" s="19" t="s">
        <v>12</v>
      </c>
      <c r="D25" s="19" t="s">
        <v>18</v>
      </c>
      <c r="E25" s="19" t="s">
        <v>177</v>
      </c>
      <c r="F25" s="19"/>
      <c r="G25" s="20">
        <f>G26+G27</f>
        <v>2190.9</v>
      </c>
      <c r="H25" s="20">
        <f>H26+H27</f>
        <v>2190.9</v>
      </c>
      <c r="I25" s="20">
        <f>I26+I27</f>
        <v>2190.9</v>
      </c>
    </row>
    <row r="26" spans="1:14" s="29" customFormat="1" ht="52.5" customHeight="1" x14ac:dyDescent="0.2">
      <c r="A26" s="34" t="s">
        <v>67</v>
      </c>
      <c r="B26" s="36">
        <v>900</v>
      </c>
      <c r="C26" s="27" t="s">
        <v>12</v>
      </c>
      <c r="D26" s="27" t="s">
        <v>18</v>
      </c>
      <c r="E26" s="19" t="s">
        <v>177</v>
      </c>
      <c r="F26" s="30" t="s">
        <v>68</v>
      </c>
      <c r="G26" s="28">
        <v>2011.8</v>
      </c>
      <c r="H26" s="28">
        <v>2011.8</v>
      </c>
      <c r="I26" s="28">
        <v>2011.8</v>
      </c>
    </row>
    <row r="27" spans="1:14" s="29" customFormat="1" ht="25.5" x14ac:dyDescent="0.2">
      <c r="A27" s="31" t="s">
        <v>77</v>
      </c>
      <c r="B27" s="36">
        <v>900</v>
      </c>
      <c r="C27" s="27" t="s">
        <v>12</v>
      </c>
      <c r="D27" s="27" t="s">
        <v>18</v>
      </c>
      <c r="E27" s="19" t="s">
        <v>177</v>
      </c>
      <c r="F27" s="30" t="s">
        <v>69</v>
      </c>
      <c r="G27" s="28">
        <v>179.1</v>
      </c>
      <c r="H27" s="28">
        <v>179.1</v>
      </c>
      <c r="I27" s="28">
        <v>179.1</v>
      </c>
    </row>
    <row r="28" spans="1:14" s="9" customFormat="1" x14ac:dyDescent="0.2">
      <c r="A28" s="11" t="s">
        <v>24</v>
      </c>
      <c r="B28" s="14">
        <v>900</v>
      </c>
      <c r="C28" s="8" t="s">
        <v>12</v>
      </c>
      <c r="D28" s="8" t="s">
        <v>62</v>
      </c>
      <c r="E28" s="8"/>
      <c r="F28" s="8"/>
      <c r="G28" s="4">
        <f>G29+G35+G37+G39+G41+G44+G31+G33</f>
        <v>20976.100000000002</v>
      </c>
      <c r="H28" s="4">
        <f t="shared" ref="H28:I28" si="6">H29+H35+H37+H39+H41+H44+H31+H33</f>
        <v>19822.2</v>
      </c>
      <c r="I28" s="4">
        <f t="shared" si="6"/>
        <v>19822.2</v>
      </c>
    </row>
    <row r="29" spans="1:14" s="77" customFormat="1" x14ac:dyDescent="0.2">
      <c r="A29" s="18" t="s">
        <v>182</v>
      </c>
      <c r="B29" s="22">
        <v>900</v>
      </c>
      <c r="C29" s="19" t="s">
        <v>12</v>
      </c>
      <c r="D29" s="19" t="s">
        <v>62</v>
      </c>
      <c r="E29" s="19" t="s">
        <v>183</v>
      </c>
      <c r="F29" s="19"/>
      <c r="G29" s="20">
        <f>G30</f>
        <v>11161.7</v>
      </c>
      <c r="H29" s="20">
        <f>H30</f>
        <v>11161.7</v>
      </c>
      <c r="I29" s="20">
        <f>I30</f>
        <v>11161.7</v>
      </c>
    </row>
    <row r="30" spans="1:14" s="78" customFormat="1" ht="25.5" x14ac:dyDescent="0.2">
      <c r="A30" s="31" t="s">
        <v>169</v>
      </c>
      <c r="B30" s="35">
        <v>900</v>
      </c>
      <c r="C30" s="27" t="s">
        <v>12</v>
      </c>
      <c r="D30" s="27" t="s">
        <v>62</v>
      </c>
      <c r="E30" s="27" t="s">
        <v>183</v>
      </c>
      <c r="F30" s="27" t="s">
        <v>66</v>
      </c>
      <c r="G30" s="28">
        <f>10957.1+204.6</f>
        <v>11161.7</v>
      </c>
      <c r="H30" s="28">
        <f t="shared" ref="H30:I30" si="7">10957.1+204.6</f>
        <v>11161.7</v>
      </c>
      <c r="I30" s="28">
        <f t="shared" si="7"/>
        <v>11161.7</v>
      </c>
      <c r="J30" s="77"/>
      <c r="K30" s="77"/>
      <c r="L30" s="77"/>
      <c r="M30" s="77"/>
      <c r="N30" s="77"/>
    </row>
    <row r="31" spans="1:14" ht="25.5" x14ac:dyDescent="0.2">
      <c r="A31" s="17" t="s">
        <v>200</v>
      </c>
      <c r="B31" s="17">
        <v>900</v>
      </c>
      <c r="C31" s="19" t="s">
        <v>12</v>
      </c>
      <c r="D31" s="19" t="s">
        <v>62</v>
      </c>
      <c r="E31" s="19" t="s">
        <v>199</v>
      </c>
      <c r="F31" s="5"/>
      <c r="G31" s="6">
        <f>G32</f>
        <v>108.3</v>
      </c>
      <c r="H31" s="6">
        <f>H32</f>
        <v>108.3</v>
      </c>
      <c r="I31" s="6">
        <f>I32</f>
        <v>108.3</v>
      </c>
    </row>
    <row r="32" spans="1:14" ht="25.5" x14ac:dyDescent="0.2">
      <c r="A32" s="31" t="s">
        <v>169</v>
      </c>
      <c r="B32" s="31">
        <v>900</v>
      </c>
      <c r="C32" s="27" t="s">
        <v>12</v>
      </c>
      <c r="D32" s="27" t="s">
        <v>62</v>
      </c>
      <c r="E32" s="27" t="s">
        <v>199</v>
      </c>
      <c r="F32" s="27" t="s">
        <v>66</v>
      </c>
      <c r="G32" s="28">
        <f>67+41.3</f>
        <v>108.3</v>
      </c>
      <c r="H32" s="28">
        <f>67+41.3</f>
        <v>108.3</v>
      </c>
      <c r="I32" s="28">
        <f>67+41.3</f>
        <v>108.3</v>
      </c>
    </row>
    <row r="33" spans="1:14" x14ac:dyDescent="0.2">
      <c r="A33" s="18" t="s">
        <v>242</v>
      </c>
      <c r="B33" s="22">
        <v>900</v>
      </c>
      <c r="C33" s="19" t="s">
        <v>12</v>
      </c>
      <c r="D33" s="19" t="s">
        <v>62</v>
      </c>
      <c r="E33" s="19" t="s">
        <v>241</v>
      </c>
      <c r="F33" s="19"/>
      <c r="G33" s="20">
        <f>G34</f>
        <v>1153.9000000000001</v>
      </c>
      <c r="H33" s="20">
        <f t="shared" ref="H33:I33" si="8">H34</f>
        <v>0</v>
      </c>
      <c r="I33" s="20">
        <f t="shared" si="8"/>
        <v>0</v>
      </c>
    </row>
    <row r="34" spans="1:14" s="29" customFormat="1" ht="25.5" x14ac:dyDescent="0.2">
      <c r="A34" s="31" t="s">
        <v>84</v>
      </c>
      <c r="B34" s="35">
        <v>900</v>
      </c>
      <c r="C34" s="27" t="s">
        <v>12</v>
      </c>
      <c r="D34" s="27" t="s">
        <v>62</v>
      </c>
      <c r="E34" s="27" t="s">
        <v>241</v>
      </c>
      <c r="F34" s="27" t="s">
        <v>72</v>
      </c>
      <c r="G34" s="28">
        <v>1153.9000000000001</v>
      </c>
      <c r="H34" s="28">
        <v>0</v>
      </c>
      <c r="I34" s="28">
        <v>0</v>
      </c>
    </row>
    <row r="35" spans="1:14" ht="38.25" x14ac:dyDescent="0.2">
      <c r="A35" s="18" t="s">
        <v>184</v>
      </c>
      <c r="B35" s="22">
        <v>900</v>
      </c>
      <c r="C35" s="19" t="s">
        <v>12</v>
      </c>
      <c r="D35" s="19" t="s">
        <v>62</v>
      </c>
      <c r="E35" s="19" t="s">
        <v>96</v>
      </c>
      <c r="F35" s="19"/>
      <c r="G35" s="20">
        <f>G36</f>
        <v>120</v>
      </c>
      <c r="H35" s="20">
        <f>H36</f>
        <v>120</v>
      </c>
      <c r="I35" s="20">
        <f>I36</f>
        <v>120</v>
      </c>
    </row>
    <row r="36" spans="1:14" s="29" customFormat="1" ht="25.5" x14ac:dyDescent="0.2">
      <c r="A36" s="31" t="s">
        <v>169</v>
      </c>
      <c r="B36" s="35">
        <v>900</v>
      </c>
      <c r="C36" s="27" t="s">
        <v>12</v>
      </c>
      <c r="D36" s="27" t="s">
        <v>62</v>
      </c>
      <c r="E36" s="27" t="s">
        <v>96</v>
      </c>
      <c r="F36" s="27" t="s">
        <v>66</v>
      </c>
      <c r="G36" s="28">
        <f>120</f>
        <v>120</v>
      </c>
      <c r="H36" s="28">
        <f>120</f>
        <v>120</v>
      </c>
      <c r="I36" s="28">
        <f>120</f>
        <v>120</v>
      </c>
      <c r="J36" s="21"/>
      <c r="K36" s="21"/>
      <c r="L36" s="21"/>
      <c r="M36" s="21"/>
      <c r="N36" s="21"/>
    </row>
    <row r="37" spans="1:14" ht="38.25" x14ac:dyDescent="0.2">
      <c r="A37" s="17" t="s">
        <v>185</v>
      </c>
      <c r="B37" s="51">
        <v>900</v>
      </c>
      <c r="C37" s="19" t="s">
        <v>12</v>
      </c>
      <c r="D37" s="19" t="s">
        <v>62</v>
      </c>
      <c r="E37" s="19" t="s">
        <v>186</v>
      </c>
      <c r="F37" s="19"/>
      <c r="G37" s="20">
        <f>G38</f>
        <v>720</v>
      </c>
      <c r="H37" s="20">
        <f>H38</f>
        <v>720</v>
      </c>
      <c r="I37" s="20">
        <f>I38</f>
        <v>720</v>
      </c>
    </row>
    <row r="38" spans="1:14" s="29" customFormat="1" x14ac:dyDescent="0.2">
      <c r="A38" s="31" t="s">
        <v>70</v>
      </c>
      <c r="B38" s="35">
        <v>900</v>
      </c>
      <c r="C38" s="27" t="s">
        <v>12</v>
      </c>
      <c r="D38" s="27" t="s">
        <v>62</v>
      </c>
      <c r="E38" s="27" t="s">
        <v>186</v>
      </c>
      <c r="F38" s="27" t="s">
        <v>71</v>
      </c>
      <c r="G38" s="28">
        <f>720</f>
        <v>720</v>
      </c>
      <c r="H38" s="28">
        <f>720</f>
        <v>720</v>
      </c>
      <c r="I38" s="28">
        <f>720</f>
        <v>720</v>
      </c>
    </row>
    <row r="39" spans="1:14" s="12" customFormat="1" ht="25.5" x14ac:dyDescent="0.2">
      <c r="A39" s="66" t="s">
        <v>187</v>
      </c>
      <c r="B39" s="67">
        <v>900</v>
      </c>
      <c r="C39" s="19" t="s">
        <v>12</v>
      </c>
      <c r="D39" s="19" t="s">
        <v>62</v>
      </c>
      <c r="E39" s="5" t="s">
        <v>188</v>
      </c>
      <c r="F39" s="5"/>
      <c r="G39" s="6">
        <f>G40</f>
        <v>2888.2</v>
      </c>
      <c r="H39" s="6">
        <f>H40</f>
        <v>2888.2</v>
      </c>
      <c r="I39" s="6">
        <f>I40</f>
        <v>2888.2</v>
      </c>
    </row>
    <row r="40" spans="1:14" s="32" customFormat="1" ht="25.5" x14ac:dyDescent="0.2">
      <c r="A40" s="31" t="s">
        <v>169</v>
      </c>
      <c r="B40" s="35">
        <v>900</v>
      </c>
      <c r="C40" s="27" t="s">
        <v>12</v>
      </c>
      <c r="D40" s="27" t="s">
        <v>62</v>
      </c>
      <c r="E40" s="27" t="s">
        <v>188</v>
      </c>
      <c r="F40" s="27" t="s">
        <v>66</v>
      </c>
      <c r="G40" s="28">
        <v>2888.2</v>
      </c>
      <c r="H40" s="28">
        <v>2888.2</v>
      </c>
      <c r="I40" s="28">
        <v>2888.2</v>
      </c>
      <c r="J40" s="12"/>
      <c r="K40" s="12"/>
      <c r="L40" s="12"/>
      <c r="M40" s="12"/>
      <c r="N40" s="12"/>
    </row>
    <row r="41" spans="1:14" ht="102" x14ac:dyDescent="0.2">
      <c r="A41" s="54" t="s">
        <v>190</v>
      </c>
      <c r="B41" s="22">
        <v>900</v>
      </c>
      <c r="C41" s="19" t="s">
        <v>12</v>
      </c>
      <c r="D41" s="19" t="s">
        <v>62</v>
      </c>
      <c r="E41" s="19" t="s">
        <v>189</v>
      </c>
      <c r="F41" s="19"/>
      <c r="G41" s="20">
        <f>G42+G43</f>
        <v>4589.6000000000004</v>
      </c>
      <c r="H41" s="20">
        <f>H42+H43</f>
        <v>4589.6000000000004</v>
      </c>
      <c r="I41" s="20">
        <f>I42+I43</f>
        <v>4589.6000000000004</v>
      </c>
    </row>
    <row r="42" spans="1:14" s="29" customFormat="1" ht="63.75" x14ac:dyDescent="0.2">
      <c r="A42" s="26" t="s">
        <v>67</v>
      </c>
      <c r="B42" s="35">
        <v>900</v>
      </c>
      <c r="C42" s="27" t="s">
        <v>12</v>
      </c>
      <c r="D42" s="27" t="s">
        <v>62</v>
      </c>
      <c r="E42" s="27" t="s">
        <v>189</v>
      </c>
      <c r="F42" s="30" t="s">
        <v>68</v>
      </c>
      <c r="G42" s="28">
        <v>4534.3</v>
      </c>
      <c r="H42" s="28">
        <v>4534.3</v>
      </c>
      <c r="I42" s="28">
        <v>4534.3</v>
      </c>
      <c r="J42" s="21"/>
      <c r="K42" s="21"/>
      <c r="L42" s="21"/>
      <c r="M42" s="21"/>
      <c r="N42" s="21"/>
    </row>
    <row r="43" spans="1:14" s="29" customFormat="1" ht="25.5" x14ac:dyDescent="0.2">
      <c r="A43" s="31" t="s">
        <v>77</v>
      </c>
      <c r="B43" s="35">
        <v>900</v>
      </c>
      <c r="C43" s="27" t="s">
        <v>12</v>
      </c>
      <c r="D43" s="27" t="s">
        <v>62</v>
      </c>
      <c r="E43" s="27" t="s">
        <v>189</v>
      </c>
      <c r="F43" s="30" t="s">
        <v>69</v>
      </c>
      <c r="G43" s="28">
        <v>55.3</v>
      </c>
      <c r="H43" s="28">
        <v>55.3</v>
      </c>
      <c r="I43" s="28">
        <v>55.3</v>
      </c>
      <c r="J43" s="21"/>
      <c r="K43" s="21"/>
      <c r="L43" s="21"/>
      <c r="M43" s="21"/>
      <c r="N43" s="21"/>
    </row>
    <row r="44" spans="1:14" s="29" customFormat="1" ht="63.75" x14ac:dyDescent="0.2">
      <c r="A44" s="54" t="s">
        <v>191</v>
      </c>
      <c r="B44" s="54">
        <v>900</v>
      </c>
      <c r="C44" s="19" t="s">
        <v>12</v>
      </c>
      <c r="D44" s="19" t="s">
        <v>62</v>
      </c>
      <c r="E44" s="19" t="s">
        <v>192</v>
      </c>
      <c r="F44" s="19"/>
      <c r="G44" s="20">
        <f>G45</f>
        <v>234.4</v>
      </c>
      <c r="H44" s="20">
        <f>H45</f>
        <v>234.4</v>
      </c>
      <c r="I44" s="20">
        <f>I45</f>
        <v>234.4</v>
      </c>
    </row>
    <row r="45" spans="1:14" ht="25.5" x14ac:dyDescent="0.2">
      <c r="A45" s="31" t="s">
        <v>77</v>
      </c>
      <c r="B45" s="26">
        <v>900</v>
      </c>
      <c r="C45" s="27" t="s">
        <v>12</v>
      </c>
      <c r="D45" s="27" t="s">
        <v>62</v>
      </c>
      <c r="E45" s="27" t="s">
        <v>192</v>
      </c>
      <c r="F45" s="30" t="s">
        <v>69</v>
      </c>
      <c r="G45" s="28">
        <f>234.4</f>
        <v>234.4</v>
      </c>
      <c r="H45" s="28">
        <f t="shared" ref="H45:I45" si="9">234.4</f>
        <v>234.4</v>
      </c>
      <c r="I45" s="28">
        <f t="shared" si="9"/>
        <v>234.4</v>
      </c>
    </row>
    <row r="46" spans="1:14" s="3" customFormat="1" ht="25.5" x14ac:dyDescent="0.2">
      <c r="A46" s="13" t="s">
        <v>5</v>
      </c>
      <c r="B46" s="50">
        <v>900</v>
      </c>
      <c r="C46" s="1" t="s">
        <v>16</v>
      </c>
      <c r="D46" s="1"/>
      <c r="E46" s="1"/>
      <c r="F46" s="1"/>
      <c r="G46" s="2">
        <f>G47</f>
        <v>2630</v>
      </c>
      <c r="H46" s="2">
        <f>H47</f>
        <v>2630</v>
      </c>
      <c r="I46" s="2">
        <f>I47</f>
        <v>2630</v>
      </c>
    </row>
    <row r="47" spans="1:14" s="9" customFormat="1" ht="38.25" x14ac:dyDescent="0.2">
      <c r="A47" s="11" t="s">
        <v>82</v>
      </c>
      <c r="B47" s="14">
        <v>900</v>
      </c>
      <c r="C47" s="8" t="s">
        <v>16</v>
      </c>
      <c r="D47" s="8" t="s">
        <v>26</v>
      </c>
      <c r="E47" s="8"/>
      <c r="F47" s="8"/>
      <c r="G47" s="4">
        <f>G48+G52+G54+G56</f>
        <v>2630</v>
      </c>
      <c r="H47" s="4">
        <f t="shared" ref="H47:I47" si="10">H48+H52+H54+H56</f>
        <v>2630</v>
      </c>
      <c r="I47" s="4">
        <f t="shared" si="10"/>
        <v>2630</v>
      </c>
    </row>
    <row r="48" spans="1:14" ht="38.25" x14ac:dyDescent="0.2">
      <c r="A48" s="54" t="s">
        <v>194</v>
      </c>
      <c r="B48" s="52">
        <v>900</v>
      </c>
      <c r="C48" s="19" t="s">
        <v>16</v>
      </c>
      <c r="D48" s="19" t="s">
        <v>26</v>
      </c>
      <c r="E48" s="19" t="s">
        <v>193</v>
      </c>
      <c r="F48" s="19"/>
      <c r="G48" s="20">
        <f>G49+G50+G51</f>
        <v>2509</v>
      </c>
      <c r="H48" s="20">
        <f>H49+H50+H51</f>
        <v>2509</v>
      </c>
      <c r="I48" s="20">
        <f>I49+I50+I51</f>
        <v>2509</v>
      </c>
    </row>
    <row r="49" spans="1:14" s="29" customFormat="1" ht="51" customHeight="1" x14ac:dyDescent="0.2">
      <c r="A49" s="34" t="s">
        <v>67</v>
      </c>
      <c r="B49" s="36">
        <v>900</v>
      </c>
      <c r="C49" s="27" t="s">
        <v>16</v>
      </c>
      <c r="D49" s="27" t="s">
        <v>26</v>
      </c>
      <c r="E49" s="27" t="s">
        <v>193</v>
      </c>
      <c r="F49" s="30" t="s">
        <v>68</v>
      </c>
      <c r="G49" s="28">
        <f>2118.5</f>
        <v>2118.5</v>
      </c>
      <c r="H49" s="28">
        <f t="shared" ref="H49:I49" si="11">2118.5</f>
        <v>2118.5</v>
      </c>
      <c r="I49" s="28">
        <f t="shared" si="11"/>
        <v>2118.5</v>
      </c>
    </row>
    <row r="50" spans="1:14" s="29" customFormat="1" ht="25.5" x14ac:dyDescent="0.2">
      <c r="A50" s="31" t="s">
        <v>77</v>
      </c>
      <c r="B50" s="36">
        <v>900</v>
      </c>
      <c r="C50" s="27" t="s">
        <v>16</v>
      </c>
      <c r="D50" s="27" t="s">
        <v>26</v>
      </c>
      <c r="E50" s="27" t="s">
        <v>193</v>
      </c>
      <c r="F50" s="30" t="s">
        <v>69</v>
      </c>
      <c r="G50" s="28">
        <v>386.6</v>
      </c>
      <c r="H50" s="28">
        <v>386.6</v>
      </c>
      <c r="I50" s="28">
        <v>386.6</v>
      </c>
    </row>
    <row r="51" spans="1:14" s="29" customFormat="1" x14ac:dyDescent="0.2">
      <c r="A51" s="31" t="s">
        <v>73</v>
      </c>
      <c r="B51" s="35">
        <v>900</v>
      </c>
      <c r="C51" s="27" t="s">
        <v>16</v>
      </c>
      <c r="D51" s="27" t="s">
        <v>26</v>
      </c>
      <c r="E51" s="27" t="s">
        <v>193</v>
      </c>
      <c r="F51" s="27" t="s">
        <v>74</v>
      </c>
      <c r="G51" s="28">
        <v>3.9</v>
      </c>
      <c r="H51" s="28">
        <v>3.9</v>
      </c>
      <c r="I51" s="28">
        <v>3.9</v>
      </c>
    </row>
    <row r="52" spans="1:14" s="12" customFormat="1" ht="25.5" x14ac:dyDescent="0.2">
      <c r="A52" s="17" t="s">
        <v>200</v>
      </c>
      <c r="B52" s="51">
        <v>900</v>
      </c>
      <c r="C52" s="19" t="s">
        <v>16</v>
      </c>
      <c r="D52" s="19" t="s">
        <v>26</v>
      </c>
      <c r="E52" s="19" t="s">
        <v>199</v>
      </c>
      <c r="F52" s="5"/>
      <c r="G52" s="6">
        <f>G53</f>
        <v>1</v>
      </c>
      <c r="H52" s="6">
        <f>H53</f>
        <v>1</v>
      </c>
      <c r="I52" s="6">
        <f>I53</f>
        <v>1</v>
      </c>
    </row>
    <row r="53" spans="1:14" s="29" customFormat="1" ht="25.5" x14ac:dyDescent="0.2">
      <c r="A53" s="31" t="s">
        <v>77</v>
      </c>
      <c r="B53" s="36">
        <v>900</v>
      </c>
      <c r="C53" s="27" t="s">
        <v>16</v>
      </c>
      <c r="D53" s="27" t="s">
        <v>26</v>
      </c>
      <c r="E53" s="27" t="s">
        <v>199</v>
      </c>
      <c r="F53" s="30" t="s">
        <v>69</v>
      </c>
      <c r="G53" s="28">
        <v>1</v>
      </c>
      <c r="H53" s="28">
        <v>1</v>
      </c>
      <c r="I53" s="28">
        <v>1</v>
      </c>
    </row>
    <row r="54" spans="1:14" s="12" customFormat="1" x14ac:dyDescent="0.2">
      <c r="A54" s="17" t="s">
        <v>201</v>
      </c>
      <c r="B54" s="51">
        <v>900</v>
      </c>
      <c r="C54" s="19" t="s">
        <v>16</v>
      </c>
      <c r="D54" s="19" t="s">
        <v>26</v>
      </c>
      <c r="E54" s="19" t="s">
        <v>202</v>
      </c>
      <c r="F54" s="5"/>
      <c r="G54" s="6">
        <f>G55</f>
        <v>87</v>
      </c>
      <c r="H54" s="6">
        <f>H55</f>
        <v>87</v>
      </c>
      <c r="I54" s="6">
        <f>I55</f>
        <v>87</v>
      </c>
    </row>
    <row r="55" spans="1:14" s="29" customFormat="1" ht="25.5" x14ac:dyDescent="0.2">
      <c r="A55" s="31" t="s">
        <v>77</v>
      </c>
      <c r="B55" s="36">
        <v>900</v>
      </c>
      <c r="C55" s="27" t="s">
        <v>16</v>
      </c>
      <c r="D55" s="27" t="s">
        <v>26</v>
      </c>
      <c r="E55" s="27" t="s">
        <v>202</v>
      </c>
      <c r="F55" s="30" t="s">
        <v>69</v>
      </c>
      <c r="G55" s="28">
        <v>87</v>
      </c>
      <c r="H55" s="28">
        <v>87</v>
      </c>
      <c r="I55" s="28">
        <v>87</v>
      </c>
    </row>
    <row r="56" spans="1:14" s="12" customFormat="1" ht="25.5" x14ac:dyDescent="0.2">
      <c r="A56" s="17" t="s">
        <v>203</v>
      </c>
      <c r="B56" s="51">
        <v>900</v>
      </c>
      <c r="C56" s="19" t="s">
        <v>16</v>
      </c>
      <c r="D56" s="19" t="s">
        <v>26</v>
      </c>
      <c r="E56" s="19" t="s">
        <v>204</v>
      </c>
      <c r="F56" s="5"/>
      <c r="G56" s="6">
        <f>G57</f>
        <v>33</v>
      </c>
      <c r="H56" s="6">
        <f>H57</f>
        <v>33</v>
      </c>
      <c r="I56" s="6">
        <f>I57</f>
        <v>33</v>
      </c>
    </row>
    <row r="57" spans="1:14" s="29" customFormat="1" x14ac:dyDescent="0.2">
      <c r="A57" s="31" t="s">
        <v>70</v>
      </c>
      <c r="B57" s="36">
        <v>900</v>
      </c>
      <c r="C57" s="27" t="s">
        <v>16</v>
      </c>
      <c r="D57" s="27" t="s">
        <v>26</v>
      </c>
      <c r="E57" s="19" t="s">
        <v>204</v>
      </c>
      <c r="F57" s="30" t="s">
        <v>71</v>
      </c>
      <c r="G57" s="28">
        <v>33</v>
      </c>
      <c r="H57" s="28">
        <v>33</v>
      </c>
      <c r="I57" s="28">
        <v>33</v>
      </c>
    </row>
    <row r="58" spans="1:14" s="3" customFormat="1" x14ac:dyDescent="0.2">
      <c r="A58" s="13" t="s">
        <v>27</v>
      </c>
      <c r="B58" s="50">
        <v>900</v>
      </c>
      <c r="C58" s="1" t="s">
        <v>18</v>
      </c>
      <c r="D58" s="1"/>
      <c r="E58" s="1"/>
      <c r="F58" s="1"/>
      <c r="G58" s="2">
        <f>G59+G62</f>
        <v>355736.7</v>
      </c>
      <c r="H58" s="2">
        <f>H59+H62</f>
        <v>194019.19999999998</v>
      </c>
      <c r="I58" s="2">
        <f>I59+I62</f>
        <v>247711.6</v>
      </c>
    </row>
    <row r="59" spans="1:14" s="9" customFormat="1" x14ac:dyDescent="0.2">
      <c r="A59" s="11" t="s">
        <v>28</v>
      </c>
      <c r="B59" s="14">
        <v>900</v>
      </c>
      <c r="C59" s="8" t="s">
        <v>18</v>
      </c>
      <c r="D59" s="8" t="s">
        <v>14</v>
      </c>
      <c r="E59" s="8"/>
      <c r="F59" s="8"/>
      <c r="G59" s="4">
        <f t="shared" ref="G59:I60" si="12">G60</f>
        <v>355565.8</v>
      </c>
      <c r="H59" s="4">
        <f t="shared" si="12"/>
        <v>193848.3</v>
      </c>
      <c r="I59" s="4">
        <f t="shared" si="12"/>
        <v>247540.7</v>
      </c>
    </row>
    <row r="60" spans="1:14" ht="25.5" x14ac:dyDescent="0.2">
      <c r="A60" s="18" t="s">
        <v>208</v>
      </c>
      <c r="B60" s="22">
        <v>900</v>
      </c>
      <c r="C60" s="19" t="s">
        <v>18</v>
      </c>
      <c r="D60" s="19" t="s">
        <v>14</v>
      </c>
      <c r="E60" s="19" t="s">
        <v>100</v>
      </c>
      <c r="F60" s="19"/>
      <c r="G60" s="20">
        <f t="shared" si="12"/>
        <v>355565.8</v>
      </c>
      <c r="H60" s="20">
        <f t="shared" si="12"/>
        <v>193848.3</v>
      </c>
      <c r="I60" s="20">
        <f t="shared" si="12"/>
        <v>247540.7</v>
      </c>
    </row>
    <row r="61" spans="1:14" s="29" customFormat="1" x14ac:dyDescent="0.2">
      <c r="A61" s="31" t="s">
        <v>70</v>
      </c>
      <c r="B61" s="35">
        <v>900</v>
      </c>
      <c r="C61" s="27" t="s">
        <v>18</v>
      </c>
      <c r="D61" s="27" t="s">
        <v>14</v>
      </c>
      <c r="E61" s="27" t="s">
        <v>100</v>
      </c>
      <c r="F61" s="27" t="s">
        <v>71</v>
      </c>
      <c r="G61" s="28">
        <v>355565.8</v>
      </c>
      <c r="H61" s="28">
        <v>193848.3</v>
      </c>
      <c r="I61" s="28">
        <v>247540.7</v>
      </c>
      <c r="J61" s="21"/>
      <c r="K61" s="21"/>
      <c r="L61" s="21"/>
      <c r="M61" s="21"/>
      <c r="N61" s="21"/>
    </row>
    <row r="62" spans="1:14" s="9" customFormat="1" x14ac:dyDescent="0.2">
      <c r="A62" s="11" t="s">
        <v>29</v>
      </c>
      <c r="B62" s="14">
        <v>900</v>
      </c>
      <c r="C62" s="8" t="s">
        <v>18</v>
      </c>
      <c r="D62" s="8" t="s">
        <v>23</v>
      </c>
      <c r="E62" s="8"/>
      <c r="F62" s="8"/>
      <c r="G62" s="4">
        <f>G63+G65</f>
        <v>170.9</v>
      </c>
      <c r="H62" s="4">
        <f t="shared" ref="H62:I62" si="13">H63+H65</f>
        <v>170.9</v>
      </c>
      <c r="I62" s="4">
        <f t="shared" si="13"/>
        <v>170.9</v>
      </c>
    </row>
    <row r="63" spans="1:14" ht="25.5" x14ac:dyDescent="0.2">
      <c r="A63" s="18" t="s">
        <v>206</v>
      </c>
      <c r="B63" s="22">
        <v>900</v>
      </c>
      <c r="C63" s="19" t="s">
        <v>18</v>
      </c>
      <c r="D63" s="19" t="s">
        <v>23</v>
      </c>
      <c r="E63" s="19" t="s">
        <v>205</v>
      </c>
      <c r="F63" s="19"/>
      <c r="G63" s="20">
        <f>G64</f>
        <v>75</v>
      </c>
      <c r="H63" s="20">
        <f>H64</f>
        <v>75</v>
      </c>
      <c r="I63" s="20">
        <f>I64</f>
        <v>75</v>
      </c>
    </row>
    <row r="64" spans="1:14" s="29" customFormat="1" ht="25.5" x14ac:dyDescent="0.2">
      <c r="A64" s="31" t="s">
        <v>77</v>
      </c>
      <c r="B64" s="35">
        <v>900</v>
      </c>
      <c r="C64" s="27" t="s">
        <v>18</v>
      </c>
      <c r="D64" s="27" t="s">
        <v>23</v>
      </c>
      <c r="E64" s="27" t="s">
        <v>205</v>
      </c>
      <c r="F64" s="27" t="s">
        <v>69</v>
      </c>
      <c r="G64" s="28">
        <v>75</v>
      </c>
      <c r="H64" s="28">
        <v>75</v>
      </c>
      <c r="I64" s="28">
        <v>75</v>
      </c>
    </row>
    <row r="65" spans="1:9" ht="25.5" x14ac:dyDescent="0.2">
      <c r="A65" s="18" t="s">
        <v>207</v>
      </c>
      <c r="B65" s="17">
        <v>900</v>
      </c>
      <c r="C65" s="19" t="s">
        <v>18</v>
      </c>
      <c r="D65" s="19" t="s">
        <v>23</v>
      </c>
      <c r="E65" s="19" t="s">
        <v>149</v>
      </c>
      <c r="F65" s="19"/>
      <c r="G65" s="20">
        <f>G66</f>
        <v>95.9</v>
      </c>
      <c r="H65" s="20">
        <f>H66</f>
        <v>95.9</v>
      </c>
      <c r="I65" s="20">
        <f>I66</f>
        <v>95.9</v>
      </c>
    </row>
    <row r="66" spans="1:9" s="29" customFormat="1" x14ac:dyDescent="0.2">
      <c r="A66" s="31" t="s">
        <v>73</v>
      </c>
      <c r="B66" s="26">
        <v>900</v>
      </c>
      <c r="C66" s="27" t="s">
        <v>18</v>
      </c>
      <c r="D66" s="27" t="s">
        <v>23</v>
      </c>
      <c r="E66" s="27" t="s">
        <v>149</v>
      </c>
      <c r="F66" s="30" t="s">
        <v>74</v>
      </c>
      <c r="G66" s="28">
        <v>95.9</v>
      </c>
      <c r="H66" s="28">
        <v>95.9</v>
      </c>
      <c r="I66" s="28">
        <v>95.9</v>
      </c>
    </row>
    <row r="67" spans="1:9" s="3" customFormat="1" x14ac:dyDescent="0.2">
      <c r="A67" s="13" t="s">
        <v>30</v>
      </c>
      <c r="B67" s="50">
        <v>900</v>
      </c>
      <c r="C67" s="1" t="s">
        <v>31</v>
      </c>
      <c r="D67" s="1"/>
      <c r="E67" s="1"/>
      <c r="F67" s="1"/>
      <c r="G67" s="2">
        <f>G68</f>
        <v>44828.9</v>
      </c>
      <c r="H67" s="2">
        <f t="shared" ref="H67:I67" si="14">H68</f>
        <v>18796.099999999999</v>
      </c>
      <c r="I67" s="2">
        <f t="shared" si="14"/>
        <v>18796.099999999999</v>
      </c>
    </row>
    <row r="68" spans="1:9" s="9" customFormat="1" x14ac:dyDescent="0.2">
      <c r="A68" s="11" t="s">
        <v>32</v>
      </c>
      <c r="B68" s="14">
        <v>900</v>
      </c>
      <c r="C68" s="8" t="s">
        <v>31</v>
      </c>
      <c r="D68" s="8" t="s">
        <v>12</v>
      </c>
      <c r="E68" s="8"/>
      <c r="F68" s="8"/>
      <c r="G68" s="4">
        <f>G69+G71+G77+G80+G75+G73</f>
        <v>44828.9</v>
      </c>
      <c r="H68" s="4">
        <f t="shared" ref="H68:I68" si="15">H69+H71+H77+H80+H75+H73</f>
        <v>18796.099999999999</v>
      </c>
      <c r="I68" s="4">
        <f t="shared" si="15"/>
        <v>18796.099999999999</v>
      </c>
    </row>
    <row r="69" spans="1:9" ht="63.75" x14ac:dyDescent="0.2">
      <c r="A69" s="17" t="s">
        <v>236</v>
      </c>
      <c r="B69" s="22">
        <v>900</v>
      </c>
      <c r="C69" s="19" t="s">
        <v>31</v>
      </c>
      <c r="D69" s="19" t="s">
        <v>12</v>
      </c>
      <c r="E69" s="19" t="s">
        <v>156</v>
      </c>
      <c r="F69" s="19"/>
      <c r="G69" s="20">
        <f>G70</f>
        <v>27186.7</v>
      </c>
      <c r="H69" s="20">
        <f>H70</f>
        <v>0</v>
      </c>
      <c r="I69" s="20">
        <f>I70</f>
        <v>0</v>
      </c>
    </row>
    <row r="70" spans="1:9" s="29" customFormat="1" ht="25.5" x14ac:dyDescent="0.2">
      <c r="A70" s="31" t="s">
        <v>84</v>
      </c>
      <c r="B70" s="35">
        <v>900</v>
      </c>
      <c r="C70" s="27" t="s">
        <v>31</v>
      </c>
      <c r="D70" s="27" t="s">
        <v>12</v>
      </c>
      <c r="E70" s="27" t="s">
        <v>156</v>
      </c>
      <c r="F70" s="27" t="s">
        <v>72</v>
      </c>
      <c r="G70" s="28">
        <v>27186.7</v>
      </c>
      <c r="H70" s="28">
        <v>0</v>
      </c>
      <c r="I70" s="28">
        <v>0</v>
      </c>
    </row>
    <row r="71" spans="1:9" ht="38.25" x14ac:dyDescent="0.2">
      <c r="A71" s="18" t="s">
        <v>240</v>
      </c>
      <c r="B71" s="22">
        <v>900</v>
      </c>
      <c r="C71" s="19" t="s">
        <v>31</v>
      </c>
      <c r="D71" s="19" t="s">
        <v>12</v>
      </c>
      <c r="E71" s="19" t="s">
        <v>239</v>
      </c>
      <c r="F71" s="19"/>
      <c r="G71" s="20">
        <f>G72</f>
        <v>2725</v>
      </c>
      <c r="H71" s="20">
        <f>H72</f>
        <v>0</v>
      </c>
      <c r="I71" s="20">
        <f>I72</f>
        <v>0</v>
      </c>
    </row>
    <row r="72" spans="1:9" s="29" customFormat="1" ht="25.5" x14ac:dyDescent="0.2">
      <c r="A72" s="31" t="s">
        <v>84</v>
      </c>
      <c r="B72" s="36">
        <v>900</v>
      </c>
      <c r="C72" s="27" t="s">
        <v>31</v>
      </c>
      <c r="D72" s="27" t="s">
        <v>12</v>
      </c>
      <c r="E72" s="19" t="s">
        <v>239</v>
      </c>
      <c r="F72" s="30" t="s">
        <v>72</v>
      </c>
      <c r="G72" s="28">
        <v>2725</v>
      </c>
      <c r="H72" s="28">
        <v>0</v>
      </c>
      <c r="I72" s="28">
        <v>0</v>
      </c>
    </row>
    <row r="73" spans="1:9" x14ac:dyDescent="0.2">
      <c r="A73" s="84" t="s">
        <v>235</v>
      </c>
      <c r="B73" s="22">
        <v>900</v>
      </c>
      <c r="C73" s="19" t="s">
        <v>31</v>
      </c>
      <c r="D73" s="19" t="s">
        <v>12</v>
      </c>
      <c r="E73" s="19" t="s">
        <v>460</v>
      </c>
      <c r="F73" s="19"/>
      <c r="G73" s="20">
        <f>G74</f>
        <v>2725</v>
      </c>
      <c r="H73" s="20">
        <f>H74</f>
        <v>0</v>
      </c>
      <c r="I73" s="20">
        <f>I74</f>
        <v>0</v>
      </c>
    </row>
    <row r="74" spans="1:9" s="29" customFormat="1" ht="25.5" x14ac:dyDescent="0.2">
      <c r="A74" s="31" t="s">
        <v>84</v>
      </c>
      <c r="B74" s="36">
        <v>900</v>
      </c>
      <c r="C74" s="27" t="s">
        <v>31</v>
      </c>
      <c r="D74" s="27" t="s">
        <v>12</v>
      </c>
      <c r="E74" s="27" t="s">
        <v>460</v>
      </c>
      <c r="F74" s="30" t="s">
        <v>72</v>
      </c>
      <c r="G74" s="28">
        <v>2725</v>
      </c>
      <c r="H74" s="28">
        <v>0</v>
      </c>
      <c r="I74" s="28">
        <v>0</v>
      </c>
    </row>
    <row r="75" spans="1:9" ht="25.5" x14ac:dyDescent="0.2">
      <c r="A75" s="18" t="s">
        <v>238</v>
      </c>
      <c r="B75" s="22">
        <v>900</v>
      </c>
      <c r="C75" s="19" t="s">
        <v>31</v>
      </c>
      <c r="D75" s="19" t="s">
        <v>12</v>
      </c>
      <c r="E75" s="19" t="s">
        <v>237</v>
      </c>
      <c r="F75" s="19"/>
      <c r="G75" s="20">
        <f>G76</f>
        <v>3983</v>
      </c>
      <c r="H75" s="20">
        <f>H76</f>
        <v>0</v>
      </c>
      <c r="I75" s="20">
        <f>I76</f>
        <v>0</v>
      </c>
    </row>
    <row r="76" spans="1:9" s="29" customFormat="1" ht="25.5" x14ac:dyDescent="0.2">
      <c r="A76" s="31" t="s">
        <v>77</v>
      </c>
      <c r="B76" s="36">
        <v>900</v>
      </c>
      <c r="C76" s="27" t="s">
        <v>31</v>
      </c>
      <c r="D76" s="27" t="s">
        <v>12</v>
      </c>
      <c r="E76" s="27" t="s">
        <v>237</v>
      </c>
      <c r="F76" s="30" t="s">
        <v>69</v>
      </c>
      <c r="G76" s="28">
        <v>3983</v>
      </c>
      <c r="H76" s="28">
        <v>0</v>
      </c>
      <c r="I76" s="28">
        <v>0</v>
      </c>
    </row>
    <row r="77" spans="1:9" x14ac:dyDescent="0.2">
      <c r="A77" s="18" t="s">
        <v>242</v>
      </c>
      <c r="B77" s="22">
        <v>900</v>
      </c>
      <c r="C77" s="19" t="s">
        <v>31</v>
      </c>
      <c r="D77" s="19" t="s">
        <v>12</v>
      </c>
      <c r="E77" s="19" t="s">
        <v>241</v>
      </c>
      <c r="F77" s="19"/>
      <c r="G77" s="20">
        <f>G78+G79</f>
        <v>5377.1</v>
      </c>
      <c r="H77" s="20">
        <f>H78+H79</f>
        <v>7562.9</v>
      </c>
      <c r="I77" s="20">
        <f>I78+I79</f>
        <v>7562.9</v>
      </c>
    </row>
    <row r="78" spans="1:9" s="29" customFormat="1" ht="25.5" x14ac:dyDescent="0.2">
      <c r="A78" s="31" t="s">
        <v>77</v>
      </c>
      <c r="B78" s="36">
        <v>900</v>
      </c>
      <c r="C78" s="27" t="s">
        <v>31</v>
      </c>
      <c r="D78" s="27" t="s">
        <v>12</v>
      </c>
      <c r="E78" s="27" t="s">
        <v>241</v>
      </c>
      <c r="F78" s="30" t="s">
        <v>69</v>
      </c>
      <c r="G78" s="28">
        <v>200</v>
      </c>
      <c r="H78" s="28">
        <v>200</v>
      </c>
      <c r="I78" s="28">
        <v>200</v>
      </c>
    </row>
    <row r="79" spans="1:9" s="29" customFormat="1" ht="25.5" x14ac:dyDescent="0.2">
      <c r="A79" s="31" t="s">
        <v>84</v>
      </c>
      <c r="B79" s="35">
        <v>900</v>
      </c>
      <c r="C79" s="27" t="s">
        <v>31</v>
      </c>
      <c r="D79" s="27" t="s">
        <v>12</v>
      </c>
      <c r="E79" s="27" t="s">
        <v>241</v>
      </c>
      <c r="F79" s="27" t="s">
        <v>72</v>
      </c>
      <c r="G79" s="28">
        <v>5177.1000000000004</v>
      </c>
      <c r="H79" s="28">
        <v>7362.9</v>
      </c>
      <c r="I79" s="28">
        <v>7362.9</v>
      </c>
    </row>
    <row r="80" spans="1:9" x14ac:dyDescent="0.2">
      <c r="A80" s="18" t="s">
        <v>244</v>
      </c>
      <c r="B80" s="22">
        <v>900</v>
      </c>
      <c r="C80" s="19" t="s">
        <v>31</v>
      </c>
      <c r="D80" s="19" t="s">
        <v>12</v>
      </c>
      <c r="E80" s="27" t="s">
        <v>243</v>
      </c>
      <c r="F80" s="19"/>
      <c r="G80" s="20">
        <f>G81</f>
        <v>2832.1</v>
      </c>
      <c r="H80" s="20">
        <f>H81</f>
        <v>11233.2</v>
      </c>
      <c r="I80" s="20">
        <f>I81</f>
        <v>11233.2</v>
      </c>
    </row>
    <row r="81" spans="1:14" s="29" customFormat="1" ht="25.5" x14ac:dyDescent="0.2">
      <c r="A81" s="31" t="s">
        <v>77</v>
      </c>
      <c r="B81" s="22">
        <v>900</v>
      </c>
      <c r="C81" s="19" t="s">
        <v>31</v>
      </c>
      <c r="D81" s="19" t="s">
        <v>12</v>
      </c>
      <c r="E81" s="27" t="s">
        <v>243</v>
      </c>
      <c r="F81" s="27" t="s">
        <v>69</v>
      </c>
      <c r="G81" s="28">
        <v>2832.1</v>
      </c>
      <c r="H81" s="28">
        <v>11233.2</v>
      </c>
      <c r="I81" s="28">
        <v>11233.2</v>
      </c>
    </row>
    <row r="82" spans="1:14" s="3" customFormat="1" x14ac:dyDescent="0.2">
      <c r="A82" s="13" t="s">
        <v>37</v>
      </c>
      <c r="B82" s="50">
        <v>900</v>
      </c>
      <c r="C82" s="1" t="s">
        <v>19</v>
      </c>
      <c r="D82" s="1"/>
      <c r="E82" s="1"/>
      <c r="F82" s="1"/>
      <c r="G82" s="2">
        <f t="shared" ref="G82:I83" si="16">G83</f>
        <v>254.8</v>
      </c>
      <c r="H82" s="2">
        <f t="shared" si="16"/>
        <v>254.8</v>
      </c>
      <c r="I82" s="2">
        <f t="shared" si="16"/>
        <v>254.8</v>
      </c>
    </row>
    <row r="83" spans="1:14" s="9" customFormat="1" x14ac:dyDescent="0.2">
      <c r="A83" s="11" t="s">
        <v>40</v>
      </c>
      <c r="B83" s="14">
        <v>900</v>
      </c>
      <c r="C83" s="8" t="s">
        <v>19</v>
      </c>
      <c r="D83" s="8" t="s">
        <v>19</v>
      </c>
      <c r="E83" s="8"/>
      <c r="F83" s="8"/>
      <c r="G83" s="4">
        <f t="shared" si="16"/>
        <v>254.8</v>
      </c>
      <c r="H83" s="4">
        <f t="shared" si="16"/>
        <v>254.8</v>
      </c>
      <c r="I83" s="4">
        <f t="shared" si="16"/>
        <v>254.8</v>
      </c>
    </row>
    <row r="84" spans="1:14" ht="25.5" x14ac:dyDescent="0.2">
      <c r="A84" s="18" t="s">
        <v>246</v>
      </c>
      <c r="B84" s="22">
        <v>900</v>
      </c>
      <c r="C84" s="19" t="s">
        <v>19</v>
      </c>
      <c r="D84" s="19" t="s">
        <v>19</v>
      </c>
      <c r="E84" s="19" t="s">
        <v>245</v>
      </c>
      <c r="F84" s="19"/>
      <c r="G84" s="20">
        <f>G85+G86</f>
        <v>254.8</v>
      </c>
      <c r="H84" s="20">
        <f t="shared" ref="H84:I84" si="17">H85+H86</f>
        <v>254.8</v>
      </c>
      <c r="I84" s="20">
        <f t="shared" si="17"/>
        <v>254.8</v>
      </c>
    </row>
    <row r="85" spans="1:14" s="29" customFormat="1" ht="25.5" x14ac:dyDescent="0.2">
      <c r="A85" s="31" t="s">
        <v>77</v>
      </c>
      <c r="B85" s="35">
        <v>900</v>
      </c>
      <c r="C85" s="27" t="s">
        <v>19</v>
      </c>
      <c r="D85" s="27" t="s">
        <v>19</v>
      </c>
      <c r="E85" s="27" t="s">
        <v>245</v>
      </c>
      <c r="F85" s="30" t="s">
        <v>69</v>
      </c>
      <c r="G85" s="28">
        <f>208.8</f>
        <v>208.8</v>
      </c>
      <c r="H85" s="28">
        <f t="shared" ref="H85:I85" si="18">208.8</f>
        <v>208.8</v>
      </c>
      <c r="I85" s="28">
        <f t="shared" si="18"/>
        <v>208.8</v>
      </c>
      <c r="J85" s="21"/>
      <c r="K85" s="21"/>
      <c r="L85" s="21"/>
      <c r="M85" s="21"/>
      <c r="N85" s="21"/>
    </row>
    <row r="86" spans="1:14" s="29" customFormat="1" x14ac:dyDescent="0.2">
      <c r="A86" s="31" t="s">
        <v>70</v>
      </c>
      <c r="B86" s="35">
        <v>900</v>
      </c>
      <c r="C86" s="27" t="s">
        <v>19</v>
      </c>
      <c r="D86" s="27" t="s">
        <v>19</v>
      </c>
      <c r="E86" s="27" t="s">
        <v>245</v>
      </c>
      <c r="F86" s="30" t="s">
        <v>71</v>
      </c>
      <c r="G86" s="28">
        <f>46</f>
        <v>46</v>
      </c>
      <c r="H86" s="28">
        <f>46</f>
        <v>46</v>
      </c>
      <c r="I86" s="28">
        <f>46</f>
        <v>46</v>
      </c>
      <c r="J86" s="21"/>
      <c r="K86" s="21"/>
      <c r="L86" s="21"/>
      <c r="M86" s="21"/>
      <c r="N86" s="21"/>
    </row>
    <row r="87" spans="1:14" s="3" customFormat="1" x14ac:dyDescent="0.2">
      <c r="A87" s="13" t="s">
        <v>53</v>
      </c>
      <c r="B87" s="50">
        <v>900</v>
      </c>
      <c r="C87" s="1" t="s">
        <v>52</v>
      </c>
      <c r="D87" s="1"/>
      <c r="E87" s="1"/>
      <c r="F87" s="1"/>
      <c r="G87" s="2">
        <f>G88+G97</f>
        <v>13503.900000000001</v>
      </c>
      <c r="H87" s="2">
        <f>H88+H97</f>
        <v>5094.3</v>
      </c>
      <c r="I87" s="2">
        <f>I88+I97</f>
        <v>10314.300000000001</v>
      </c>
    </row>
    <row r="88" spans="1:14" s="9" customFormat="1" x14ac:dyDescent="0.2">
      <c r="A88" s="11" t="s">
        <v>56</v>
      </c>
      <c r="B88" s="14">
        <v>900</v>
      </c>
      <c r="C88" s="8" t="s">
        <v>52</v>
      </c>
      <c r="D88" s="8" t="s">
        <v>16</v>
      </c>
      <c r="E88" s="8"/>
      <c r="F88" s="8"/>
      <c r="G88" s="4">
        <f>G91+G95+G89+G93</f>
        <v>13387.7</v>
      </c>
      <c r="H88" s="4">
        <f t="shared" ref="H88:I88" si="19">H91+H95+H89+H93</f>
        <v>4978.1000000000004</v>
      </c>
      <c r="I88" s="4">
        <f t="shared" si="19"/>
        <v>10198.1</v>
      </c>
    </row>
    <row r="89" spans="1:14" s="77" customFormat="1" ht="89.25" x14ac:dyDescent="0.2">
      <c r="A89" s="18" t="s">
        <v>251</v>
      </c>
      <c r="B89" s="18">
        <v>900</v>
      </c>
      <c r="C89" s="19" t="s">
        <v>52</v>
      </c>
      <c r="D89" s="19" t="s">
        <v>16</v>
      </c>
      <c r="E89" s="19" t="s">
        <v>161</v>
      </c>
      <c r="F89" s="19"/>
      <c r="G89" s="20">
        <f>G90</f>
        <v>9252.1</v>
      </c>
      <c r="H89" s="20">
        <f>H90</f>
        <v>0</v>
      </c>
      <c r="I89" s="20">
        <f>I90</f>
        <v>0</v>
      </c>
    </row>
    <row r="90" spans="1:14" s="77" customFormat="1" x14ac:dyDescent="0.2">
      <c r="A90" s="31" t="s">
        <v>70</v>
      </c>
      <c r="B90" s="31">
        <v>900</v>
      </c>
      <c r="C90" s="27" t="s">
        <v>52</v>
      </c>
      <c r="D90" s="27" t="s">
        <v>16</v>
      </c>
      <c r="E90" s="27" t="s">
        <v>161</v>
      </c>
      <c r="F90" s="27" t="s">
        <v>71</v>
      </c>
      <c r="G90" s="28">
        <v>9252.1</v>
      </c>
      <c r="H90" s="28">
        <v>0</v>
      </c>
      <c r="I90" s="28">
        <v>0</v>
      </c>
    </row>
    <row r="91" spans="1:14" ht="63.75" x14ac:dyDescent="0.2">
      <c r="A91" s="18" t="s">
        <v>252</v>
      </c>
      <c r="B91" s="22">
        <v>900</v>
      </c>
      <c r="C91" s="19" t="s">
        <v>52</v>
      </c>
      <c r="D91" s="19" t="s">
        <v>16</v>
      </c>
      <c r="E91" s="19" t="s">
        <v>99</v>
      </c>
      <c r="F91" s="19"/>
      <c r="G91" s="20">
        <f>G92</f>
        <v>1355.2</v>
      </c>
      <c r="H91" s="20">
        <f>H92</f>
        <v>2197.6999999999998</v>
      </c>
      <c r="I91" s="20">
        <f>I92</f>
        <v>7417.7</v>
      </c>
    </row>
    <row r="92" spans="1:14" s="29" customFormat="1" ht="25.5" x14ac:dyDescent="0.2">
      <c r="A92" s="31" t="s">
        <v>84</v>
      </c>
      <c r="B92" s="31">
        <v>900</v>
      </c>
      <c r="C92" s="27" t="s">
        <v>52</v>
      </c>
      <c r="D92" s="27" t="s">
        <v>16</v>
      </c>
      <c r="E92" s="27" t="s">
        <v>99</v>
      </c>
      <c r="F92" s="27" t="s">
        <v>72</v>
      </c>
      <c r="G92" s="28">
        <v>1355.2</v>
      </c>
      <c r="H92" s="28">
        <v>2197.6999999999998</v>
      </c>
      <c r="I92" s="28">
        <v>7417.7</v>
      </c>
      <c r="J92" s="21"/>
      <c r="K92" s="21"/>
      <c r="L92" s="21"/>
      <c r="M92" s="21"/>
      <c r="N92" s="21"/>
    </row>
    <row r="93" spans="1:14" ht="38.25" x14ac:dyDescent="0.2">
      <c r="A93" s="18" t="s">
        <v>233</v>
      </c>
      <c r="B93" s="22">
        <v>900</v>
      </c>
      <c r="C93" s="19" t="s">
        <v>52</v>
      </c>
      <c r="D93" s="19" t="s">
        <v>16</v>
      </c>
      <c r="E93" s="19" t="s">
        <v>234</v>
      </c>
      <c r="F93" s="19"/>
      <c r="G93" s="20">
        <f>G94</f>
        <v>814.1</v>
      </c>
      <c r="H93" s="20">
        <f>H94</f>
        <v>814.1</v>
      </c>
      <c r="I93" s="20">
        <f>I94</f>
        <v>814.1</v>
      </c>
    </row>
    <row r="94" spans="1:14" s="29" customFormat="1" ht="25.5" x14ac:dyDescent="0.2">
      <c r="A94" s="31" t="s">
        <v>84</v>
      </c>
      <c r="B94" s="35">
        <v>900</v>
      </c>
      <c r="C94" s="27" t="s">
        <v>52</v>
      </c>
      <c r="D94" s="27" t="s">
        <v>16</v>
      </c>
      <c r="E94" s="27" t="s">
        <v>234</v>
      </c>
      <c r="F94" s="27" t="s">
        <v>72</v>
      </c>
      <c r="G94" s="28">
        <v>814.1</v>
      </c>
      <c r="H94" s="28">
        <v>814.1</v>
      </c>
      <c r="I94" s="28">
        <v>814.1</v>
      </c>
      <c r="J94" s="21"/>
      <c r="K94" s="21"/>
      <c r="L94" s="21"/>
      <c r="M94" s="21"/>
      <c r="N94" s="21"/>
    </row>
    <row r="95" spans="1:14" ht="25.5" x14ac:dyDescent="0.2">
      <c r="A95" s="18" t="s">
        <v>253</v>
      </c>
      <c r="B95" s="22">
        <v>900</v>
      </c>
      <c r="C95" s="19" t="s">
        <v>52</v>
      </c>
      <c r="D95" s="19" t="s">
        <v>16</v>
      </c>
      <c r="E95" s="19" t="s">
        <v>150</v>
      </c>
      <c r="F95" s="19"/>
      <c r="G95" s="20">
        <f>G96</f>
        <v>1966.3</v>
      </c>
      <c r="H95" s="20">
        <f>H96</f>
        <v>1966.3</v>
      </c>
      <c r="I95" s="20">
        <f>I96</f>
        <v>1966.3</v>
      </c>
    </row>
    <row r="96" spans="1:14" s="29" customFormat="1" x14ac:dyDescent="0.2">
      <c r="A96" s="29" t="s">
        <v>70</v>
      </c>
      <c r="B96" s="35">
        <v>900</v>
      </c>
      <c r="C96" s="27" t="s">
        <v>52</v>
      </c>
      <c r="D96" s="27" t="s">
        <v>16</v>
      </c>
      <c r="E96" s="27" t="s">
        <v>150</v>
      </c>
      <c r="F96" s="33">
        <v>300</v>
      </c>
      <c r="G96" s="28">
        <v>1966.3</v>
      </c>
      <c r="H96" s="28">
        <v>1966.3</v>
      </c>
      <c r="I96" s="28">
        <v>1966.3</v>
      </c>
      <c r="J96" s="21"/>
      <c r="K96" s="21"/>
      <c r="L96" s="21"/>
      <c r="M96" s="21"/>
      <c r="N96" s="21"/>
    </row>
    <row r="97" spans="1:14" s="9" customFormat="1" x14ac:dyDescent="0.2">
      <c r="A97" s="11" t="s">
        <v>58</v>
      </c>
      <c r="B97" s="14">
        <v>900</v>
      </c>
      <c r="C97" s="8" t="s">
        <v>52</v>
      </c>
      <c r="D97" s="8" t="s">
        <v>51</v>
      </c>
      <c r="E97" s="8"/>
      <c r="F97" s="8"/>
      <c r="G97" s="4">
        <f>G98</f>
        <v>116.19999999999999</v>
      </c>
      <c r="H97" s="4">
        <f>H98</f>
        <v>116.19999999999999</v>
      </c>
      <c r="I97" s="4">
        <f>I98</f>
        <v>116.19999999999999</v>
      </c>
    </row>
    <row r="98" spans="1:14" x14ac:dyDescent="0.2">
      <c r="A98" s="18" t="s">
        <v>263</v>
      </c>
      <c r="B98" s="22">
        <v>900</v>
      </c>
      <c r="C98" s="19" t="s">
        <v>52</v>
      </c>
      <c r="D98" s="19" t="s">
        <v>51</v>
      </c>
      <c r="E98" s="19" t="s">
        <v>262</v>
      </c>
      <c r="F98" s="19"/>
      <c r="G98" s="20">
        <f>G100+G99</f>
        <v>116.19999999999999</v>
      </c>
      <c r="H98" s="20">
        <f>H100+H99</f>
        <v>116.19999999999999</v>
      </c>
      <c r="I98" s="20">
        <f>I100+I99</f>
        <v>116.19999999999999</v>
      </c>
    </row>
    <row r="99" spans="1:14" s="29" customFormat="1" ht="25.5" x14ac:dyDescent="0.2">
      <c r="A99" s="31" t="s">
        <v>77</v>
      </c>
      <c r="B99" s="26">
        <v>900</v>
      </c>
      <c r="C99" s="27" t="s">
        <v>52</v>
      </c>
      <c r="D99" s="27" t="s">
        <v>51</v>
      </c>
      <c r="E99" s="27" t="s">
        <v>262</v>
      </c>
      <c r="F99" s="30" t="s">
        <v>69</v>
      </c>
      <c r="G99" s="28">
        <v>0.6</v>
      </c>
      <c r="H99" s="28">
        <v>0.6</v>
      </c>
      <c r="I99" s="28">
        <v>0.6</v>
      </c>
    </row>
    <row r="100" spans="1:14" s="29" customFormat="1" x14ac:dyDescent="0.2">
      <c r="A100" s="31" t="s">
        <v>70</v>
      </c>
      <c r="B100" s="35">
        <v>900</v>
      </c>
      <c r="C100" s="27" t="s">
        <v>52</v>
      </c>
      <c r="D100" s="27" t="s">
        <v>51</v>
      </c>
      <c r="E100" s="27" t="s">
        <v>262</v>
      </c>
      <c r="F100" s="27" t="s">
        <v>71</v>
      </c>
      <c r="G100" s="28">
        <v>115.6</v>
      </c>
      <c r="H100" s="28">
        <v>115.6</v>
      </c>
      <c r="I100" s="28">
        <v>115.6</v>
      </c>
    </row>
    <row r="101" spans="1:14" s="3" customFormat="1" ht="25.5" x14ac:dyDescent="0.2">
      <c r="A101" s="13" t="s">
        <v>20</v>
      </c>
      <c r="B101" s="50">
        <v>900</v>
      </c>
      <c r="C101" s="1" t="s">
        <v>62</v>
      </c>
      <c r="D101" s="1"/>
      <c r="E101" s="1"/>
      <c r="F101" s="1"/>
      <c r="G101" s="2">
        <f t="shared" ref="G101:I103" si="20">G102</f>
        <v>816.7</v>
      </c>
      <c r="H101" s="2">
        <f t="shared" si="20"/>
        <v>816.7</v>
      </c>
      <c r="I101" s="2">
        <f t="shared" si="20"/>
        <v>816.7</v>
      </c>
    </row>
    <row r="102" spans="1:14" s="9" customFormat="1" ht="25.5" x14ac:dyDescent="0.2">
      <c r="A102" s="11" t="s">
        <v>3</v>
      </c>
      <c r="B102" s="14">
        <v>900</v>
      </c>
      <c r="C102" s="8" t="s">
        <v>62</v>
      </c>
      <c r="D102" s="8" t="s">
        <v>12</v>
      </c>
      <c r="E102" s="8"/>
      <c r="F102" s="8"/>
      <c r="G102" s="4">
        <f t="shared" si="20"/>
        <v>816.7</v>
      </c>
      <c r="H102" s="4">
        <f t="shared" si="20"/>
        <v>816.7</v>
      </c>
      <c r="I102" s="4">
        <f t="shared" si="20"/>
        <v>816.7</v>
      </c>
    </row>
    <row r="103" spans="1:14" ht="25.5" x14ac:dyDescent="0.2">
      <c r="A103" s="18" t="s">
        <v>265</v>
      </c>
      <c r="B103" s="22">
        <v>900</v>
      </c>
      <c r="C103" s="19" t="s">
        <v>62</v>
      </c>
      <c r="D103" s="19" t="s">
        <v>12</v>
      </c>
      <c r="E103" s="19" t="s">
        <v>264</v>
      </c>
      <c r="F103" s="19"/>
      <c r="G103" s="20">
        <f t="shared" si="20"/>
        <v>816.7</v>
      </c>
      <c r="H103" s="20">
        <f t="shared" si="20"/>
        <v>816.7</v>
      </c>
      <c r="I103" s="20">
        <f t="shared" si="20"/>
        <v>816.7</v>
      </c>
    </row>
    <row r="104" spans="1:14" s="29" customFormat="1" x14ac:dyDescent="0.2">
      <c r="A104" s="31" t="s">
        <v>75</v>
      </c>
      <c r="B104" s="35">
        <v>900</v>
      </c>
      <c r="C104" s="27" t="s">
        <v>62</v>
      </c>
      <c r="D104" s="27" t="s">
        <v>12</v>
      </c>
      <c r="E104" s="19" t="s">
        <v>264</v>
      </c>
      <c r="F104" s="27" t="s">
        <v>76</v>
      </c>
      <c r="G104" s="28">
        <v>816.7</v>
      </c>
      <c r="H104" s="28">
        <v>816.7</v>
      </c>
      <c r="I104" s="28">
        <v>816.7</v>
      </c>
      <c r="J104" s="21"/>
      <c r="K104" s="21"/>
      <c r="L104" s="21"/>
      <c r="M104" s="21"/>
      <c r="N104" s="21"/>
    </row>
    <row r="105" spans="1:14" s="9" customFormat="1" ht="38.25" x14ac:dyDescent="0.2">
      <c r="A105" s="48" t="s">
        <v>34</v>
      </c>
      <c r="B105" s="45">
        <v>904</v>
      </c>
      <c r="C105" s="49"/>
      <c r="D105" s="49"/>
      <c r="E105" s="49"/>
      <c r="F105" s="49"/>
      <c r="G105" s="47">
        <f>G106+G117</f>
        <v>32560.300000000003</v>
      </c>
      <c r="H105" s="47">
        <f>H106+H117</f>
        <v>32560.300000000003</v>
      </c>
      <c r="I105" s="47">
        <f>I106+I117</f>
        <v>32560.300000000003</v>
      </c>
      <c r="J105" s="86"/>
      <c r="K105" s="86"/>
      <c r="L105" s="86"/>
    </row>
    <row r="106" spans="1:14" s="3" customFormat="1" x14ac:dyDescent="0.2">
      <c r="A106" s="13" t="s">
        <v>37</v>
      </c>
      <c r="B106" s="50">
        <v>904</v>
      </c>
      <c r="C106" s="1" t="s">
        <v>19</v>
      </c>
      <c r="D106" s="1"/>
      <c r="E106" s="1"/>
      <c r="F106" s="1"/>
      <c r="G106" s="2">
        <f>G107+G114</f>
        <v>25756.9</v>
      </c>
      <c r="H106" s="2">
        <f>H107+H114</f>
        <v>25756.9</v>
      </c>
      <c r="I106" s="2">
        <f>I107+I114</f>
        <v>25756.9</v>
      </c>
    </row>
    <row r="107" spans="1:14" s="9" customFormat="1" x14ac:dyDescent="0.2">
      <c r="A107" s="11" t="s">
        <v>463</v>
      </c>
      <c r="B107" s="14">
        <v>904</v>
      </c>
      <c r="C107" s="8" t="s">
        <v>19</v>
      </c>
      <c r="D107" s="8" t="s">
        <v>16</v>
      </c>
      <c r="E107" s="8"/>
      <c r="F107" s="8"/>
      <c r="G107" s="4">
        <f>G110+G108+G112</f>
        <v>24626.7</v>
      </c>
      <c r="H107" s="4">
        <f t="shared" ref="H107:I107" si="21">H110+H108+H112</f>
        <v>24626.7</v>
      </c>
      <c r="I107" s="4">
        <f t="shared" si="21"/>
        <v>24626.7</v>
      </c>
    </row>
    <row r="108" spans="1:14" ht="25.5" x14ac:dyDescent="0.2">
      <c r="A108" s="17" t="s">
        <v>200</v>
      </c>
      <c r="B108" s="17">
        <v>904</v>
      </c>
      <c r="C108" s="19" t="s">
        <v>19</v>
      </c>
      <c r="D108" s="19" t="s">
        <v>16</v>
      </c>
      <c r="E108" s="19" t="s">
        <v>199</v>
      </c>
      <c r="F108" s="5"/>
      <c r="G108" s="6">
        <f>G109</f>
        <v>20</v>
      </c>
      <c r="H108" s="6">
        <f>H109</f>
        <v>20</v>
      </c>
      <c r="I108" s="6">
        <f>I109</f>
        <v>20</v>
      </c>
    </row>
    <row r="109" spans="1:14" ht="25.5" x14ac:dyDescent="0.2">
      <c r="A109" s="31" t="s">
        <v>169</v>
      </c>
      <c r="B109" s="31">
        <v>904</v>
      </c>
      <c r="C109" s="27" t="s">
        <v>19</v>
      </c>
      <c r="D109" s="27" t="s">
        <v>16</v>
      </c>
      <c r="E109" s="27" t="s">
        <v>199</v>
      </c>
      <c r="F109" s="27" t="s">
        <v>66</v>
      </c>
      <c r="G109" s="28">
        <v>20</v>
      </c>
      <c r="H109" s="28">
        <v>20</v>
      </c>
      <c r="I109" s="28">
        <v>20</v>
      </c>
    </row>
    <row r="110" spans="1:14" ht="25.5" x14ac:dyDescent="0.2">
      <c r="A110" s="18" t="s">
        <v>268</v>
      </c>
      <c r="B110" s="22">
        <v>904</v>
      </c>
      <c r="C110" s="19" t="s">
        <v>19</v>
      </c>
      <c r="D110" s="19" t="s">
        <v>16</v>
      </c>
      <c r="E110" s="19" t="s">
        <v>267</v>
      </c>
      <c r="F110" s="19"/>
      <c r="G110" s="20">
        <f>G111</f>
        <v>24582.5</v>
      </c>
      <c r="H110" s="20">
        <f>H111</f>
        <v>24582.5</v>
      </c>
      <c r="I110" s="20">
        <f>I111</f>
        <v>24582.5</v>
      </c>
    </row>
    <row r="111" spans="1:14" s="29" customFormat="1" ht="25.5" x14ac:dyDescent="0.2">
      <c r="A111" s="31" t="s">
        <v>169</v>
      </c>
      <c r="B111" s="35">
        <v>904</v>
      </c>
      <c r="C111" s="27" t="s">
        <v>19</v>
      </c>
      <c r="D111" s="27" t="s">
        <v>16</v>
      </c>
      <c r="E111" s="27" t="s">
        <v>267</v>
      </c>
      <c r="F111" s="27" t="s">
        <v>66</v>
      </c>
      <c r="G111" s="28">
        <v>24582.5</v>
      </c>
      <c r="H111" s="28">
        <v>24582.5</v>
      </c>
      <c r="I111" s="28">
        <v>24582.5</v>
      </c>
    </row>
    <row r="112" spans="1:14" ht="25.5" x14ac:dyDescent="0.2">
      <c r="A112" s="18" t="s">
        <v>269</v>
      </c>
      <c r="B112" s="18">
        <v>904</v>
      </c>
      <c r="C112" s="19" t="s">
        <v>19</v>
      </c>
      <c r="D112" s="19" t="s">
        <v>16</v>
      </c>
      <c r="E112" s="19" t="s">
        <v>270</v>
      </c>
      <c r="F112" s="19"/>
      <c r="G112" s="20">
        <f>G113</f>
        <v>24.2</v>
      </c>
      <c r="H112" s="20">
        <f>H113</f>
        <v>24.2</v>
      </c>
      <c r="I112" s="20">
        <f>I113</f>
        <v>24.2</v>
      </c>
    </row>
    <row r="113" spans="1:9" ht="25.5" x14ac:dyDescent="0.2">
      <c r="A113" s="31" t="s">
        <v>169</v>
      </c>
      <c r="B113" s="31">
        <v>904</v>
      </c>
      <c r="C113" s="27" t="s">
        <v>19</v>
      </c>
      <c r="D113" s="27" t="s">
        <v>16</v>
      </c>
      <c r="E113" s="27" t="s">
        <v>270</v>
      </c>
      <c r="F113" s="27" t="s">
        <v>66</v>
      </c>
      <c r="G113" s="28">
        <v>24.2</v>
      </c>
      <c r="H113" s="28">
        <v>24.2</v>
      </c>
      <c r="I113" s="28">
        <v>24.2</v>
      </c>
    </row>
    <row r="114" spans="1:9" s="9" customFormat="1" x14ac:dyDescent="0.2">
      <c r="A114" s="11" t="s">
        <v>41</v>
      </c>
      <c r="B114" s="14">
        <v>904</v>
      </c>
      <c r="C114" s="8" t="s">
        <v>19</v>
      </c>
      <c r="D114" s="8" t="s">
        <v>26</v>
      </c>
      <c r="E114" s="8"/>
      <c r="F114" s="8"/>
      <c r="G114" s="4">
        <f>G115</f>
        <v>1130.2</v>
      </c>
      <c r="H114" s="4">
        <f>H115</f>
        <v>1130.2</v>
      </c>
      <c r="I114" s="4">
        <f>I115</f>
        <v>1130.2</v>
      </c>
    </row>
    <row r="115" spans="1:9" ht="38.25" x14ac:dyDescent="0.2">
      <c r="A115" s="18" t="s">
        <v>272</v>
      </c>
      <c r="B115" s="22">
        <v>904</v>
      </c>
      <c r="C115" s="19" t="s">
        <v>19</v>
      </c>
      <c r="D115" s="19" t="s">
        <v>26</v>
      </c>
      <c r="E115" s="19" t="s">
        <v>271</v>
      </c>
      <c r="F115" s="19"/>
      <c r="G115" s="20">
        <f>G116</f>
        <v>1130.2</v>
      </c>
      <c r="H115" s="20">
        <f t="shared" ref="H115:I115" si="22">H116</f>
        <v>1130.2</v>
      </c>
      <c r="I115" s="20">
        <f t="shared" si="22"/>
        <v>1130.2</v>
      </c>
    </row>
    <row r="116" spans="1:9" s="29" customFormat="1" ht="25.5" x14ac:dyDescent="0.2">
      <c r="A116" s="31" t="s">
        <v>169</v>
      </c>
      <c r="B116" s="36">
        <v>904</v>
      </c>
      <c r="C116" s="27" t="s">
        <v>19</v>
      </c>
      <c r="D116" s="27" t="s">
        <v>26</v>
      </c>
      <c r="E116" s="27" t="s">
        <v>271</v>
      </c>
      <c r="F116" s="30" t="s">
        <v>66</v>
      </c>
      <c r="G116" s="28">
        <v>1130.2</v>
      </c>
      <c r="H116" s="28">
        <v>1130.2</v>
      </c>
      <c r="I116" s="28">
        <v>1130.2</v>
      </c>
    </row>
    <row r="117" spans="1:9" s="3" customFormat="1" x14ac:dyDescent="0.2">
      <c r="A117" s="13" t="s">
        <v>0</v>
      </c>
      <c r="B117" s="50">
        <v>904</v>
      </c>
      <c r="C117" s="1" t="s">
        <v>21</v>
      </c>
      <c r="D117" s="1"/>
      <c r="E117" s="1"/>
      <c r="F117" s="1"/>
      <c r="G117" s="2">
        <f>G118+G126+G129</f>
        <v>6803.4</v>
      </c>
      <c r="H117" s="2">
        <f>H118+H126+H129</f>
        <v>6803.4</v>
      </c>
      <c r="I117" s="2">
        <f>I118+I126+I129</f>
        <v>6803.4</v>
      </c>
    </row>
    <row r="118" spans="1:9" s="9" customFormat="1" x14ac:dyDescent="0.2">
      <c r="A118" s="11" t="s">
        <v>1</v>
      </c>
      <c r="B118" s="14">
        <v>904</v>
      </c>
      <c r="C118" s="8" t="s">
        <v>21</v>
      </c>
      <c r="D118" s="8" t="s">
        <v>12</v>
      </c>
      <c r="E118" s="8"/>
      <c r="F118" s="8"/>
      <c r="G118" s="4">
        <f>G121+G124+G119</f>
        <v>5682.4</v>
      </c>
      <c r="H118" s="4">
        <f t="shared" ref="H118:I118" si="23">H121+H124+H119</f>
        <v>5682.4</v>
      </c>
      <c r="I118" s="4">
        <f t="shared" si="23"/>
        <v>5682.4</v>
      </c>
    </row>
    <row r="119" spans="1:9" s="12" customFormat="1" ht="25.5" x14ac:dyDescent="0.2">
      <c r="A119" s="17" t="s">
        <v>200</v>
      </c>
      <c r="B119" s="52">
        <v>904</v>
      </c>
      <c r="C119" s="19" t="s">
        <v>21</v>
      </c>
      <c r="D119" s="19" t="s">
        <v>12</v>
      </c>
      <c r="E119" s="19" t="s">
        <v>199</v>
      </c>
      <c r="F119" s="5"/>
      <c r="G119" s="6">
        <f>G120</f>
        <v>13</v>
      </c>
      <c r="H119" s="6">
        <f>H120</f>
        <v>13</v>
      </c>
      <c r="I119" s="6">
        <f>I120</f>
        <v>13</v>
      </c>
    </row>
    <row r="120" spans="1:9" s="29" customFormat="1" ht="25.5" x14ac:dyDescent="0.2">
      <c r="A120" s="31" t="s">
        <v>169</v>
      </c>
      <c r="B120" s="35">
        <v>904</v>
      </c>
      <c r="C120" s="27" t="s">
        <v>21</v>
      </c>
      <c r="D120" s="27" t="s">
        <v>12</v>
      </c>
      <c r="E120" s="27" t="s">
        <v>199</v>
      </c>
      <c r="F120" s="27" t="s">
        <v>66</v>
      </c>
      <c r="G120" s="28">
        <v>13</v>
      </c>
      <c r="H120" s="28">
        <v>13</v>
      </c>
      <c r="I120" s="28">
        <v>13</v>
      </c>
    </row>
    <row r="121" spans="1:9" ht="25.5" x14ac:dyDescent="0.2">
      <c r="A121" s="18" t="s">
        <v>274</v>
      </c>
      <c r="B121" s="22">
        <v>904</v>
      </c>
      <c r="C121" s="19" t="s">
        <v>21</v>
      </c>
      <c r="D121" s="19" t="s">
        <v>12</v>
      </c>
      <c r="E121" s="19" t="s">
        <v>273</v>
      </c>
      <c r="F121" s="19"/>
      <c r="G121" s="20">
        <f>G123+G122</f>
        <v>5469.4</v>
      </c>
      <c r="H121" s="20">
        <f>H123+H122</f>
        <v>5469.4</v>
      </c>
      <c r="I121" s="20">
        <f>I123+I122</f>
        <v>5469.4</v>
      </c>
    </row>
    <row r="122" spans="1:9" s="29" customFormat="1" ht="25.5" x14ac:dyDescent="0.2">
      <c r="A122" s="31" t="s">
        <v>77</v>
      </c>
      <c r="B122" s="36">
        <v>904</v>
      </c>
      <c r="C122" s="27" t="s">
        <v>21</v>
      </c>
      <c r="D122" s="27" t="s">
        <v>12</v>
      </c>
      <c r="E122" s="27" t="s">
        <v>273</v>
      </c>
      <c r="F122" s="30" t="s">
        <v>69</v>
      </c>
      <c r="G122" s="28">
        <v>35</v>
      </c>
      <c r="H122" s="28">
        <v>35</v>
      </c>
      <c r="I122" s="28">
        <v>35</v>
      </c>
    </row>
    <row r="123" spans="1:9" s="29" customFormat="1" ht="25.5" x14ac:dyDescent="0.2">
      <c r="A123" s="31" t="s">
        <v>169</v>
      </c>
      <c r="B123" s="35">
        <v>904</v>
      </c>
      <c r="C123" s="27" t="s">
        <v>21</v>
      </c>
      <c r="D123" s="27" t="s">
        <v>12</v>
      </c>
      <c r="E123" s="27" t="s">
        <v>273</v>
      </c>
      <c r="F123" s="27" t="s">
        <v>66</v>
      </c>
      <c r="G123" s="28">
        <v>5434.4</v>
      </c>
      <c r="H123" s="28">
        <v>5434.4</v>
      </c>
      <c r="I123" s="28">
        <v>5434.4</v>
      </c>
    </row>
    <row r="124" spans="1:9" ht="38.25" x14ac:dyDescent="0.2">
      <c r="A124" s="18" t="s">
        <v>278</v>
      </c>
      <c r="B124" s="22">
        <v>904</v>
      </c>
      <c r="C124" s="19" t="s">
        <v>21</v>
      </c>
      <c r="D124" s="19" t="s">
        <v>12</v>
      </c>
      <c r="E124" s="19" t="s">
        <v>277</v>
      </c>
      <c r="F124" s="19"/>
      <c r="G124" s="20">
        <f>G125</f>
        <v>200</v>
      </c>
      <c r="H124" s="20">
        <f>H125</f>
        <v>200</v>
      </c>
      <c r="I124" s="20">
        <f>I125</f>
        <v>200</v>
      </c>
    </row>
    <row r="125" spans="1:9" s="29" customFormat="1" ht="25.5" x14ac:dyDescent="0.2">
      <c r="A125" s="31" t="s">
        <v>77</v>
      </c>
      <c r="B125" s="36">
        <v>904</v>
      </c>
      <c r="C125" s="27" t="s">
        <v>21</v>
      </c>
      <c r="D125" s="27" t="s">
        <v>12</v>
      </c>
      <c r="E125" s="27" t="s">
        <v>277</v>
      </c>
      <c r="F125" s="30" t="s">
        <v>69</v>
      </c>
      <c r="G125" s="28">
        <v>200</v>
      </c>
      <c r="H125" s="28">
        <v>200</v>
      </c>
      <c r="I125" s="28">
        <v>200</v>
      </c>
    </row>
    <row r="126" spans="1:9" s="9" customFormat="1" x14ac:dyDescent="0.2">
      <c r="A126" s="11" t="s">
        <v>2</v>
      </c>
      <c r="B126" s="14">
        <v>904</v>
      </c>
      <c r="C126" s="8" t="s">
        <v>21</v>
      </c>
      <c r="D126" s="8" t="s">
        <v>14</v>
      </c>
      <c r="E126" s="8"/>
      <c r="F126" s="8"/>
      <c r="G126" s="4">
        <f t="shared" ref="G126:I127" si="24">G127</f>
        <v>460</v>
      </c>
      <c r="H126" s="4">
        <f t="shared" si="24"/>
        <v>460</v>
      </c>
      <c r="I126" s="4">
        <f t="shared" si="24"/>
        <v>460</v>
      </c>
    </row>
    <row r="127" spans="1:9" ht="25.5" x14ac:dyDescent="0.2">
      <c r="A127" s="18" t="s">
        <v>280</v>
      </c>
      <c r="B127" s="22">
        <v>904</v>
      </c>
      <c r="C127" s="19" t="s">
        <v>21</v>
      </c>
      <c r="D127" s="19" t="s">
        <v>14</v>
      </c>
      <c r="E127" s="19" t="s">
        <v>279</v>
      </c>
      <c r="F127" s="19"/>
      <c r="G127" s="20">
        <f t="shared" si="24"/>
        <v>460</v>
      </c>
      <c r="H127" s="20">
        <f t="shared" si="24"/>
        <v>460</v>
      </c>
      <c r="I127" s="20">
        <f t="shared" si="24"/>
        <v>460</v>
      </c>
    </row>
    <row r="128" spans="1:9" s="29" customFormat="1" ht="25.5" x14ac:dyDescent="0.2">
      <c r="A128" s="31" t="s">
        <v>77</v>
      </c>
      <c r="B128" s="36">
        <v>904</v>
      </c>
      <c r="C128" s="27" t="s">
        <v>21</v>
      </c>
      <c r="D128" s="27" t="s">
        <v>14</v>
      </c>
      <c r="E128" s="27" t="s">
        <v>279</v>
      </c>
      <c r="F128" s="30" t="s">
        <v>69</v>
      </c>
      <c r="G128" s="28">
        <v>460</v>
      </c>
      <c r="H128" s="28">
        <v>460</v>
      </c>
      <c r="I128" s="28">
        <v>460</v>
      </c>
    </row>
    <row r="129" spans="1:14" s="9" customFormat="1" ht="25.5" x14ac:dyDescent="0.2">
      <c r="A129" s="11" t="s">
        <v>4</v>
      </c>
      <c r="B129" s="14">
        <v>904</v>
      </c>
      <c r="C129" s="8" t="s">
        <v>21</v>
      </c>
      <c r="D129" s="8" t="s">
        <v>31</v>
      </c>
      <c r="E129" s="8"/>
      <c r="F129" s="8"/>
      <c r="G129" s="4">
        <f>G130</f>
        <v>661</v>
      </c>
      <c r="H129" s="4">
        <f>H130</f>
        <v>661</v>
      </c>
      <c r="I129" s="4">
        <f>I130</f>
        <v>661</v>
      </c>
    </row>
    <row r="130" spans="1:14" ht="25.5" x14ac:dyDescent="0.2">
      <c r="A130" s="18" t="s">
        <v>282</v>
      </c>
      <c r="B130" s="22">
        <v>904</v>
      </c>
      <c r="C130" s="19" t="s">
        <v>21</v>
      </c>
      <c r="D130" s="19" t="s">
        <v>31</v>
      </c>
      <c r="E130" s="19" t="s">
        <v>281</v>
      </c>
      <c r="F130" s="19"/>
      <c r="G130" s="20">
        <f>G131+G132</f>
        <v>661</v>
      </c>
      <c r="H130" s="20">
        <f>H131+H132</f>
        <v>661</v>
      </c>
      <c r="I130" s="20">
        <f>I131+I132</f>
        <v>661</v>
      </c>
    </row>
    <row r="131" spans="1:14" s="29" customFormat="1" ht="63.75" x14ac:dyDescent="0.2">
      <c r="A131" s="34" t="s">
        <v>67</v>
      </c>
      <c r="B131" s="36">
        <v>904</v>
      </c>
      <c r="C131" s="27" t="s">
        <v>21</v>
      </c>
      <c r="D131" s="27" t="s">
        <v>31</v>
      </c>
      <c r="E131" s="27" t="s">
        <v>281</v>
      </c>
      <c r="F131" s="30" t="s">
        <v>68</v>
      </c>
      <c r="G131" s="28">
        <v>609</v>
      </c>
      <c r="H131" s="28">
        <v>609</v>
      </c>
      <c r="I131" s="28">
        <v>609</v>
      </c>
    </row>
    <row r="132" spans="1:14" s="29" customFormat="1" ht="25.5" x14ac:dyDescent="0.2">
      <c r="A132" s="31" t="s">
        <v>77</v>
      </c>
      <c r="B132" s="36">
        <v>904</v>
      </c>
      <c r="C132" s="27" t="s">
        <v>21</v>
      </c>
      <c r="D132" s="27" t="s">
        <v>31</v>
      </c>
      <c r="E132" s="27" t="s">
        <v>281</v>
      </c>
      <c r="F132" s="30" t="s">
        <v>69</v>
      </c>
      <c r="G132" s="28">
        <v>52</v>
      </c>
      <c r="H132" s="28">
        <v>52</v>
      </c>
      <c r="I132" s="28">
        <v>52</v>
      </c>
    </row>
    <row r="133" spans="1:14" s="9" customFormat="1" ht="38.25" x14ac:dyDescent="0.2">
      <c r="A133" s="48" t="s">
        <v>47</v>
      </c>
      <c r="B133" s="45">
        <v>905</v>
      </c>
      <c r="C133" s="49"/>
      <c r="D133" s="49"/>
      <c r="E133" s="49"/>
      <c r="F133" s="49"/>
      <c r="G133" s="47">
        <f>G134+G154+G164+G160</f>
        <v>30744.899999999998</v>
      </c>
      <c r="H133" s="47">
        <f>H134+H154+H164+H160</f>
        <v>30744.899999999998</v>
      </c>
      <c r="I133" s="47">
        <f>I134+I154+I164+I160</f>
        <v>30744.899999999998</v>
      </c>
      <c r="J133" s="86"/>
      <c r="K133" s="86"/>
      <c r="L133" s="86"/>
    </row>
    <row r="134" spans="1:14" s="3" customFormat="1" x14ac:dyDescent="0.2">
      <c r="A134" s="13" t="s">
        <v>61</v>
      </c>
      <c r="B134" s="50">
        <v>905</v>
      </c>
      <c r="C134" s="1" t="s">
        <v>12</v>
      </c>
      <c r="D134" s="1"/>
      <c r="E134" s="1"/>
      <c r="F134" s="1"/>
      <c r="G134" s="2">
        <f>G135</f>
        <v>8714.1</v>
      </c>
      <c r="H134" s="2">
        <f>H135</f>
        <v>8714.1</v>
      </c>
      <c r="I134" s="2">
        <f>I135</f>
        <v>8714.1</v>
      </c>
      <c r="J134" s="88"/>
      <c r="K134" s="88"/>
      <c r="L134" s="88"/>
    </row>
    <row r="135" spans="1:14" s="9" customFormat="1" x14ac:dyDescent="0.2">
      <c r="A135" s="11" t="s">
        <v>24</v>
      </c>
      <c r="B135" s="14">
        <v>905</v>
      </c>
      <c r="C135" s="8" t="s">
        <v>12</v>
      </c>
      <c r="D135" s="8" t="s">
        <v>62</v>
      </c>
      <c r="E135" s="8"/>
      <c r="F135" s="8"/>
      <c r="G135" s="4">
        <f>G136+G138+G142+G145+G147+G150+G140</f>
        <v>8714.1</v>
      </c>
      <c r="H135" s="4">
        <f>H136+H138+H142+H145+H147+H150+H140</f>
        <v>8714.1</v>
      </c>
      <c r="I135" s="4">
        <f>I136+I138+I142+I145+I147+I150+I140</f>
        <v>8714.1</v>
      </c>
    </row>
    <row r="136" spans="1:14" ht="25.5" x14ac:dyDescent="0.2">
      <c r="A136" s="18" t="s">
        <v>284</v>
      </c>
      <c r="B136" s="22">
        <v>905</v>
      </c>
      <c r="C136" s="19" t="s">
        <v>12</v>
      </c>
      <c r="D136" s="19" t="s">
        <v>62</v>
      </c>
      <c r="E136" s="5" t="s">
        <v>283</v>
      </c>
      <c r="F136" s="5"/>
      <c r="G136" s="6">
        <f>G137</f>
        <v>700</v>
      </c>
      <c r="H136" s="6">
        <f>H137</f>
        <v>700</v>
      </c>
      <c r="I136" s="6">
        <f>I137</f>
        <v>700</v>
      </c>
    </row>
    <row r="137" spans="1:14" s="29" customFormat="1" ht="25.5" x14ac:dyDescent="0.2">
      <c r="A137" s="31" t="s">
        <v>77</v>
      </c>
      <c r="B137" s="36">
        <v>905</v>
      </c>
      <c r="C137" s="27" t="s">
        <v>12</v>
      </c>
      <c r="D137" s="27" t="s">
        <v>62</v>
      </c>
      <c r="E137" s="27" t="s">
        <v>283</v>
      </c>
      <c r="F137" s="30" t="s">
        <v>69</v>
      </c>
      <c r="G137" s="28">
        <v>700</v>
      </c>
      <c r="H137" s="28">
        <v>700</v>
      </c>
      <c r="I137" s="28">
        <v>700</v>
      </c>
    </row>
    <row r="138" spans="1:14" ht="25.5" x14ac:dyDescent="0.2">
      <c r="A138" s="18" t="s">
        <v>285</v>
      </c>
      <c r="B138" s="22">
        <v>905</v>
      </c>
      <c r="C138" s="19" t="s">
        <v>12</v>
      </c>
      <c r="D138" s="19" t="s">
        <v>62</v>
      </c>
      <c r="E138" s="5" t="s">
        <v>286</v>
      </c>
      <c r="F138" s="5"/>
      <c r="G138" s="6">
        <f>G139</f>
        <v>1000</v>
      </c>
      <c r="H138" s="6">
        <f>H139</f>
        <v>1000</v>
      </c>
      <c r="I138" s="6">
        <f>I139</f>
        <v>1000</v>
      </c>
    </row>
    <row r="139" spans="1:14" s="29" customFormat="1" ht="25.5" x14ac:dyDescent="0.2">
      <c r="A139" s="31" t="s">
        <v>77</v>
      </c>
      <c r="B139" s="36">
        <v>905</v>
      </c>
      <c r="C139" s="27" t="s">
        <v>12</v>
      </c>
      <c r="D139" s="27" t="s">
        <v>62</v>
      </c>
      <c r="E139" s="27" t="s">
        <v>286</v>
      </c>
      <c r="F139" s="30" t="s">
        <v>69</v>
      </c>
      <c r="G139" s="28">
        <v>1000</v>
      </c>
      <c r="H139" s="28">
        <v>1000</v>
      </c>
      <c r="I139" s="28">
        <v>1000</v>
      </c>
    </row>
    <row r="140" spans="1:14" ht="38.25" x14ac:dyDescent="0.2">
      <c r="A140" s="18" t="s">
        <v>287</v>
      </c>
      <c r="B140" s="22">
        <v>905</v>
      </c>
      <c r="C140" s="19" t="s">
        <v>12</v>
      </c>
      <c r="D140" s="19" t="s">
        <v>62</v>
      </c>
      <c r="E140" s="19" t="s">
        <v>288</v>
      </c>
      <c r="F140" s="19"/>
      <c r="G140" s="20">
        <f>G141</f>
        <v>451</v>
      </c>
      <c r="H140" s="20">
        <f>H141</f>
        <v>451</v>
      </c>
      <c r="I140" s="20">
        <f>I141</f>
        <v>451</v>
      </c>
    </row>
    <row r="141" spans="1:14" s="29" customFormat="1" ht="25.5" x14ac:dyDescent="0.2">
      <c r="A141" s="31" t="s">
        <v>77</v>
      </c>
      <c r="B141" s="35">
        <v>905</v>
      </c>
      <c r="C141" s="27" t="s">
        <v>12</v>
      </c>
      <c r="D141" s="27" t="s">
        <v>62</v>
      </c>
      <c r="E141" s="27" t="s">
        <v>288</v>
      </c>
      <c r="F141" s="30" t="s">
        <v>69</v>
      </c>
      <c r="G141" s="28">
        <v>451</v>
      </c>
      <c r="H141" s="28">
        <v>451</v>
      </c>
      <c r="I141" s="28">
        <v>451</v>
      </c>
      <c r="J141" s="21"/>
      <c r="K141" s="21"/>
      <c r="L141" s="21"/>
      <c r="M141" s="21"/>
      <c r="N141" s="21"/>
    </row>
    <row r="142" spans="1:14" x14ac:dyDescent="0.2">
      <c r="A142" s="18" t="s">
        <v>289</v>
      </c>
      <c r="B142" s="22">
        <v>905</v>
      </c>
      <c r="C142" s="19" t="s">
        <v>12</v>
      </c>
      <c r="D142" s="19" t="s">
        <v>62</v>
      </c>
      <c r="E142" s="5" t="s">
        <v>290</v>
      </c>
      <c r="F142" s="5"/>
      <c r="G142" s="6">
        <f>G144+G143</f>
        <v>150</v>
      </c>
      <c r="H142" s="6">
        <f t="shared" ref="H142:I142" si="25">H144+H143</f>
        <v>150</v>
      </c>
      <c r="I142" s="6">
        <f t="shared" si="25"/>
        <v>150</v>
      </c>
    </row>
    <row r="143" spans="1:14" s="29" customFormat="1" ht="25.5" x14ac:dyDescent="0.2">
      <c r="A143" s="31" t="s">
        <v>77</v>
      </c>
      <c r="B143" s="36">
        <v>905</v>
      </c>
      <c r="C143" s="27" t="s">
        <v>12</v>
      </c>
      <c r="D143" s="27" t="s">
        <v>62</v>
      </c>
      <c r="E143" s="27" t="s">
        <v>290</v>
      </c>
      <c r="F143" s="30" t="s">
        <v>69</v>
      </c>
      <c r="G143" s="28">
        <v>50</v>
      </c>
      <c r="H143" s="28">
        <v>50</v>
      </c>
      <c r="I143" s="28">
        <v>50</v>
      </c>
    </row>
    <row r="144" spans="1:14" s="29" customFormat="1" x14ac:dyDescent="0.2">
      <c r="A144" s="31" t="s">
        <v>73</v>
      </c>
      <c r="B144" s="36">
        <v>905</v>
      </c>
      <c r="C144" s="27" t="s">
        <v>12</v>
      </c>
      <c r="D144" s="27" t="s">
        <v>62</v>
      </c>
      <c r="E144" s="27" t="s">
        <v>290</v>
      </c>
      <c r="F144" s="30" t="s">
        <v>74</v>
      </c>
      <c r="G144" s="28">
        <v>100</v>
      </c>
      <c r="H144" s="28">
        <v>100</v>
      </c>
      <c r="I144" s="28">
        <v>100</v>
      </c>
    </row>
    <row r="145" spans="1:14" x14ac:dyDescent="0.2">
      <c r="A145" s="18" t="s">
        <v>292</v>
      </c>
      <c r="B145" s="22">
        <v>905</v>
      </c>
      <c r="C145" s="19" t="s">
        <v>12</v>
      </c>
      <c r="D145" s="19" t="s">
        <v>62</v>
      </c>
      <c r="E145" s="5" t="s">
        <v>291</v>
      </c>
      <c r="F145" s="5"/>
      <c r="G145" s="6">
        <f>G146</f>
        <v>500</v>
      </c>
      <c r="H145" s="6">
        <f>H146</f>
        <v>500</v>
      </c>
      <c r="I145" s="6">
        <f>I146</f>
        <v>500</v>
      </c>
    </row>
    <row r="146" spans="1:14" s="29" customFormat="1" ht="25.5" x14ac:dyDescent="0.2">
      <c r="A146" s="31" t="s">
        <v>77</v>
      </c>
      <c r="B146" s="36">
        <v>905</v>
      </c>
      <c r="C146" s="27" t="s">
        <v>12</v>
      </c>
      <c r="D146" s="27" t="s">
        <v>62</v>
      </c>
      <c r="E146" s="27" t="s">
        <v>291</v>
      </c>
      <c r="F146" s="30" t="s">
        <v>69</v>
      </c>
      <c r="G146" s="28">
        <v>500</v>
      </c>
      <c r="H146" s="28">
        <v>500</v>
      </c>
      <c r="I146" s="28">
        <v>500</v>
      </c>
    </row>
    <row r="147" spans="1:14" x14ac:dyDescent="0.2">
      <c r="A147" s="18" t="s">
        <v>293</v>
      </c>
      <c r="B147" s="22">
        <v>905</v>
      </c>
      <c r="C147" s="19" t="s">
        <v>12</v>
      </c>
      <c r="D147" s="19" t="s">
        <v>62</v>
      </c>
      <c r="E147" s="5" t="s">
        <v>294</v>
      </c>
      <c r="F147" s="5"/>
      <c r="G147" s="6">
        <f>G148+G149</f>
        <v>903</v>
      </c>
      <c r="H147" s="6">
        <f>H148+H149</f>
        <v>903</v>
      </c>
      <c r="I147" s="6">
        <f>I148+I149</f>
        <v>903</v>
      </c>
    </row>
    <row r="148" spans="1:14" s="29" customFormat="1" ht="25.5" x14ac:dyDescent="0.2">
      <c r="A148" s="31" t="s">
        <v>77</v>
      </c>
      <c r="B148" s="26">
        <v>905</v>
      </c>
      <c r="C148" s="27" t="s">
        <v>12</v>
      </c>
      <c r="D148" s="27" t="s">
        <v>62</v>
      </c>
      <c r="E148" s="27" t="s">
        <v>294</v>
      </c>
      <c r="F148" s="30" t="s">
        <v>69</v>
      </c>
      <c r="G148" s="28">
        <v>50</v>
      </c>
      <c r="H148" s="28">
        <v>50</v>
      </c>
      <c r="I148" s="28">
        <v>50</v>
      </c>
    </row>
    <row r="149" spans="1:14" s="29" customFormat="1" x14ac:dyDescent="0.2">
      <c r="A149" s="31" t="s">
        <v>73</v>
      </c>
      <c r="B149" s="35">
        <v>905</v>
      </c>
      <c r="C149" s="19" t="s">
        <v>12</v>
      </c>
      <c r="D149" s="19" t="s">
        <v>62</v>
      </c>
      <c r="E149" s="27" t="s">
        <v>294</v>
      </c>
      <c r="F149" s="27" t="s">
        <v>74</v>
      </c>
      <c r="G149" s="28">
        <v>853</v>
      </c>
      <c r="H149" s="28">
        <v>853</v>
      </c>
      <c r="I149" s="28">
        <v>853</v>
      </c>
    </row>
    <row r="150" spans="1:14" ht="25.5" x14ac:dyDescent="0.2">
      <c r="A150" s="18" t="s">
        <v>295</v>
      </c>
      <c r="B150" s="22">
        <v>905</v>
      </c>
      <c r="C150" s="19" t="s">
        <v>12</v>
      </c>
      <c r="D150" s="19" t="s">
        <v>62</v>
      </c>
      <c r="E150" s="5" t="s">
        <v>296</v>
      </c>
      <c r="F150" s="19"/>
      <c r="G150" s="20">
        <f>G151+G152+G153</f>
        <v>5010.1000000000004</v>
      </c>
      <c r="H150" s="20">
        <f>H151+H152+H153</f>
        <v>5010.1000000000004</v>
      </c>
      <c r="I150" s="20">
        <f>I151+I152+I153</f>
        <v>5010.1000000000004</v>
      </c>
    </row>
    <row r="151" spans="1:14" s="29" customFormat="1" ht="63.75" x14ac:dyDescent="0.2">
      <c r="A151" s="34" t="s">
        <v>67</v>
      </c>
      <c r="B151" s="36">
        <v>905</v>
      </c>
      <c r="C151" s="27" t="s">
        <v>12</v>
      </c>
      <c r="D151" s="27" t="s">
        <v>62</v>
      </c>
      <c r="E151" s="27" t="s">
        <v>296</v>
      </c>
      <c r="F151" s="30" t="s">
        <v>68</v>
      </c>
      <c r="G151" s="28">
        <v>4565.3</v>
      </c>
      <c r="H151" s="28">
        <v>4565.3</v>
      </c>
      <c r="I151" s="28">
        <v>4565.3</v>
      </c>
    </row>
    <row r="152" spans="1:14" s="29" customFormat="1" ht="25.5" x14ac:dyDescent="0.2">
      <c r="A152" s="31" t="s">
        <v>77</v>
      </c>
      <c r="B152" s="36">
        <v>905</v>
      </c>
      <c r="C152" s="27" t="s">
        <v>12</v>
      </c>
      <c r="D152" s="27" t="s">
        <v>62</v>
      </c>
      <c r="E152" s="27" t="s">
        <v>296</v>
      </c>
      <c r="F152" s="30" t="s">
        <v>69</v>
      </c>
      <c r="G152" s="28">
        <v>434.8</v>
      </c>
      <c r="H152" s="28">
        <v>434.8</v>
      </c>
      <c r="I152" s="28">
        <v>434.8</v>
      </c>
    </row>
    <row r="153" spans="1:14" s="29" customFormat="1" x14ac:dyDescent="0.2">
      <c r="A153" s="31" t="s">
        <v>73</v>
      </c>
      <c r="B153" s="35">
        <v>905</v>
      </c>
      <c r="C153" s="19" t="s">
        <v>12</v>
      </c>
      <c r="D153" s="19" t="s">
        <v>62</v>
      </c>
      <c r="E153" s="27" t="s">
        <v>296</v>
      </c>
      <c r="F153" s="27" t="s">
        <v>74</v>
      </c>
      <c r="G153" s="28">
        <v>10</v>
      </c>
      <c r="H153" s="28">
        <v>10</v>
      </c>
      <c r="I153" s="28">
        <v>10</v>
      </c>
    </row>
    <row r="154" spans="1:14" s="3" customFormat="1" x14ac:dyDescent="0.2">
      <c r="A154" s="13" t="s">
        <v>27</v>
      </c>
      <c r="B154" s="50">
        <v>905</v>
      </c>
      <c r="C154" s="1" t="s">
        <v>18</v>
      </c>
      <c r="D154" s="1"/>
      <c r="E154" s="1"/>
      <c r="F154" s="1"/>
      <c r="G154" s="2">
        <f>G155</f>
        <v>1700</v>
      </c>
      <c r="H154" s="2">
        <f>H155</f>
        <v>1700</v>
      </c>
      <c r="I154" s="2">
        <f>I155</f>
        <v>1700</v>
      </c>
    </row>
    <row r="155" spans="1:14" s="9" customFormat="1" x14ac:dyDescent="0.2">
      <c r="A155" s="11" t="s">
        <v>29</v>
      </c>
      <c r="B155" s="14">
        <v>905</v>
      </c>
      <c r="C155" s="8" t="s">
        <v>18</v>
      </c>
      <c r="D155" s="8" t="s">
        <v>23</v>
      </c>
      <c r="E155" s="8"/>
      <c r="F155" s="8"/>
      <c r="G155" s="4">
        <f>G156+G158</f>
        <v>1700</v>
      </c>
      <c r="H155" s="4">
        <f>H156+H158</f>
        <v>1700</v>
      </c>
      <c r="I155" s="4">
        <f>I156+I158</f>
        <v>1700</v>
      </c>
    </row>
    <row r="156" spans="1:14" x14ac:dyDescent="0.2">
      <c r="A156" s="18" t="s">
        <v>298</v>
      </c>
      <c r="B156" s="22">
        <v>905</v>
      </c>
      <c r="C156" s="19" t="s">
        <v>18</v>
      </c>
      <c r="D156" s="19" t="s">
        <v>23</v>
      </c>
      <c r="E156" s="19" t="s">
        <v>297</v>
      </c>
      <c r="F156" s="19"/>
      <c r="G156" s="20">
        <f>G157</f>
        <v>1000</v>
      </c>
      <c r="H156" s="20">
        <f>H157</f>
        <v>1000</v>
      </c>
      <c r="I156" s="20">
        <f>I157</f>
        <v>1000</v>
      </c>
    </row>
    <row r="157" spans="1:14" s="29" customFormat="1" ht="25.5" x14ac:dyDescent="0.2">
      <c r="A157" s="31" t="s">
        <v>77</v>
      </c>
      <c r="B157" s="35">
        <v>905</v>
      </c>
      <c r="C157" s="27" t="s">
        <v>18</v>
      </c>
      <c r="D157" s="27" t="s">
        <v>23</v>
      </c>
      <c r="E157" s="27" t="s">
        <v>297</v>
      </c>
      <c r="F157" s="30" t="s">
        <v>69</v>
      </c>
      <c r="G157" s="28">
        <v>1000</v>
      </c>
      <c r="H157" s="28">
        <v>1000</v>
      </c>
      <c r="I157" s="28">
        <v>1000</v>
      </c>
      <c r="J157" s="21"/>
      <c r="K157" s="21"/>
      <c r="L157" s="21"/>
      <c r="M157" s="21"/>
      <c r="N157" s="21"/>
    </row>
    <row r="158" spans="1:14" ht="38.25" x14ac:dyDescent="0.2">
      <c r="A158" s="18" t="s">
        <v>299</v>
      </c>
      <c r="B158" s="22">
        <v>905</v>
      </c>
      <c r="C158" s="19" t="s">
        <v>18</v>
      </c>
      <c r="D158" s="19" t="s">
        <v>23</v>
      </c>
      <c r="E158" s="19" t="s">
        <v>300</v>
      </c>
      <c r="F158" s="19"/>
      <c r="G158" s="20">
        <f>G159</f>
        <v>700</v>
      </c>
      <c r="H158" s="20">
        <f>H159</f>
        <v>700</v>
      </c>
      <c r="I158" s="20">
        <f>I159</f>
        <v>700</v>
      </c>
    </row>
    <row r="159" spans="1:14" s="29" customFormat="1" ht="25.5" x14ac:dyDescent="0.2">
      <c r="A159" s="31" t="s">
        <v>77</v>
      </c>
      <c r="B159" s="36">
        <v>905</v>
      </c>
      <c r="C159" s="27" t="s">
        <v>18</v>
      </c>
      <c r="D159" s="27" t="s">
        <v>23</v>
      </c>
      <c r="E159" s="27" t="s">
        <v>300</v>
      </c>
      <c r="F159" s="30" t="s">
        <v>69</v>
      </c>
      <c r="G159" s="28">
        <v>700</v>
      </c>
      <c r="H159" s="28">
        <v>700</v>
      </c>
      <c r="I159" s="28">
        <v>700</v>
      </c>
    </row>
    <row r="160" spans="1:14" s="3" customFormat="1" x14ac:dyDescent="0.2">
      <c r="A160" s="13" t="s">
        <v>30</v>
      </c>
      <c r="B160" s="50">
        <v>905</v>
      </c>
      <c r="C160" s="1" t="s">
        <v>31</v>
      </c>
      <c r="D160" s="1"/>
      <c r="E160" s="1"/>
      <c r="F160" s="1"/>
      <c r="G160" s="2">
        <f t="shared" ref="G160:I162" si="26">G161</f>
        <v>2263.6999999999998</v>
      </c>
      <c r="H160" s="2">
        <f t="shared" si="26"/>
        <v>2263.6999999999998</v>
      </c>
      <c r="I160" s="2">
        <f t="shared" si="26"/>
        <v>2263.6999999999998</v>
      </c>
    </row>
    <row r="161" spans="1:14" s="9" customFormat="1" x14ac:dyDescent="0.2">
      <c r="A161" s="11" t="s">
        <v>32</v>
      </c>
      <c r="B161" s="14">
        <v>905</v>
      </c>
      <c r="C161" s="8" t="s">
        <v>31</v>
      </c>
      <c r="D161" s="8" t="s">
        <v>12</v>
      </c>
      <c r="E161" s="8"/>
      <c r="F161" s="8"/>
      <c r="G161" s="4">
        <f t="shared" si="26"/>
        <v>2263.6999999999998</v>
      </c>
      <c r="H161" s="4">
        <f t="shared" si="26"/>
        <v>2263.6999999999998</v>
      </c>
      <c r="I161" s="4">
        <f t="shared" si="26"/>
        <v>2263.6999999999998</v>
      </c>
    </row>
    <row r="162" spans="1:14" ht="25.5" x14ac:dyDescent="0.2">
      <c r="A162" s="18" t="s">
        <v>301</v>
      </c>
      <c r="B162" s="22">
        <v>905</v>
      </c>
      <c r="C162" s="19" t="s">
        <v>31</v>
      </c>
      <c r="D162" s="19" t="s">
        <v>12</v>
      </c>
      <c r="E162" s="19" t="s">
        <v>302</v>
      </c>
      <c r="F162" s="19"/>
      <c r="G162" s="20">
        <f t="shared" si="26"/>
        <v>2263.6999999999998</v>
      </c>
      <c r="H162" s="20">
        <f t="shared" si="26"/>
        <v>2263.6999999999998</v>
      </c>
      <c r="I162" s="20">
        <f t="shared" si="26"/>
        <v>2263.6999999999998</v>
      </c>
    </row>
    <row r="163" spans="1:14" s="29" customFormat="1" ht="25.5" x14ac:dyDescent="0.2">
      <c r="A163" s="31" t="s">
        <v>77</v>
      </c>
      <c r="B163" s="35">
        <v>905</v>
      </c>
      <c r="C163" s="27" t="s">
        <v>31</v>
      </c>
      <c r="D163" s="27" t="s">
        <v>12</v>
      </c>
      <c r="E163" s="27" t="s">
        <v>302</v>
      </c>
      <c r="F163" s="27" t="s">
        <v>69</v>
      </c>
      <c r="G163" s="28">
        <v>2263.6999999999998</v>
      </c>
      <c r="H163" s="28">
        <v>2263.6999999999998</v>
      </c>
      <c r="I163" s="28">
        <v>2263.6999999999998</v>
      </c>
      <c r="J163" s="21"/>
      <c r="K163" s="21"/>
      <c r="L163" s="21"/>
      <c r="M163" s="21"/>
      <c r="N163" s="21"/>
    </row>
    <row r="164" spans="1:14" s="9" customFormat="1" x14ac:dyDescent="0.2">
      <c r="A164" s="11" t="s">
        <v>53</v>
      </c>
      <c r="B164" s="14">
        <v>905</v>
      </c>
      <c r="C164" s="8" t="s">
        <v>52</v>
      </c>
      <c r="D164" s="8"/>
      <c r="E164" s="8"/>
      <c r="F164" s="8"/>
      <c r="G164" s="4">
        <f>G165+G168</f>
        <v>18067.099999999999</v>
      </c>
      <c r="H164" s="4">
        <f>H165+H168</f>
        <v>18067.099999999999</v>
      </c>
      <c r="I164" s="4">
        <f>I165+I168</f>
        <v>18067.099999999999</v>
      </c>
    </row>
    <row r="165" spans="1:14" s="9" customFormat="1" x14ac:dyDescent="0.2">
      <c r="A165" s="11" t="s">
        <v>57</v>
      </c>
      <c r="B165" s="14">
        <v>905</v>
      </c>
      <c r="C165" s="8" t="s">
        <v>52</v>
      </c>
      <c r="D165" s="8" t="s">
        <v>18</v>
      </c>
      <c r="E165" s="8"/>
      <c r="F165" s="8"/>
      <c r="G165" s="4">
        <f>G166</f>
        <v>18022</v>
      </c>
      <c r="H165" s="4">
        <f t="shared" ref="H165:I165" si="27">H166</f>
        <v>18022</v>
      </c>
      <c r="I165" s="4">
        <f t="shared" si="27"/>
        <v>18022</v>
      </c>
    </row>
    <row r="166" spans="1:14" ht="51" x14ac:dyDescent="0.2">
      <c r="A166" s="18" t="s">
        <v>303</v>
      </c>
      <c r="B166" s="22">
        <v>905</v>
      </c>
      <c r="C166" s="19" t="s">
        <v>52</v>
      </c>
      <c r="D166" s="16" t="s">
        <v>18</v>
      </c>
      <c r="E166" s="19" t="s">
        <v>147</v>
      </c>
      <c r="F166" s="19"/>
      <c r="G166" s="20">
        <f>G167</f>
        <v>18022</v>
      </c>
      <c r="H166" s="20">
        <f>H167</f>
        <v>18022</v>
      </c>
      <c r="I166" s="20">
        <f>I167</f>
        <v>18022</v>
      </c>
    </row>
    <row r="167" spans="1:14" s="29" customFormat="1" ht="25.5" x14ac:dyDescent="0.2">
      <c r="A167" s="31" t="s">
        <v>84</v>
      </c>
      <c r="B167" s="35">
        <v>905</v>
      </c>
      <c r="C167" s="27" t="s">
        <v>52</v>
      </c>
      <c r="D167" s="27" t="s">
        <v>18</v>
      </c>
      <c r="E167" s="19" t="s">
        <v>147</v>
      </c>
      <c r="F167" s="27" t="s">
        <v>72</v>
      </c>
      <c r="G167" s="28">
        <v>18022</v>
      </c>
      <c r="H167" s="28">
        <v>18022</v>
      </c>
      <c r="I167" s="28">
        <v>18022</v>
      </c>
      <c r="J167" s="21"/>
      <c r="K167" s="21"/>
      <c r="L167" s="21"/>
      <c r="M167" s="21"/>
      <c r="N167" s="21"/>
    </row>
    <row r="168" spans="1:14" s="9" customFormat="1" x14ac:dyDescent="0.2">
      <c r="A168" s="11" t="s">
        <v>58</v>
      </c>
      <c r="B168" s="14">
        <v>905</v>
      </c>
      <c r="C168" s="8" t="s">
        <v>52</v>
      </c>
      <c r="D168" s="8" t="s">
        <v>51</v>
      </c>
      <c r="E168" s="8"/>
      <c r="F168" s="8"/>
      <c r="G168" s="4">
        <f>G169</f>
        <v>45.1</v>
      </c>
      <c r="H168" s="4">
        <f t="shared" ref="H168:I168" si="28">H169</f>
        <v>45.1</v>
      </c>
      <c r="I168" s="4">
        <f t="shared" si="28"/>
        <v>45.1</v>
      </c>
    </row>
    <row r="169" spans="1:14" x14ac:dyDescent="0.2">
      <c r="A169" s="18" t="s">
        <v>397</v>
      </c>
      <c r="B169" s="22">
        <v>905</v>
      </c>
      <c r="C169" s="19" t="s">
        <v>52</v>
      </c>
      <c r="D169" s="16" t="s">
        <v>51</v>
      </c>
      <c r="E169" s="19" t="s">
        <v>398</v>
      </c>
      <c r="F169" s="19"/>
      <c r="G169" s="20">
        <f>G170</f>
        <v>45.1</v>
      </c>
      <c r="H169" s="20">
        <f>H170</f>
        <v>45.1</v>
      </c>
      <c r="I169" s="20">
        <f>I170</f>
        <v>45.1</v>
      </c>
    </row>
    <row r="170" spans="1:14" s="29" customFormat="1" x14ac:dyDescent="0.2">
      <c r="A170" s="31" t="s">
        <v>73</v>
      </c>
      <c r="B170" s="35">
        <v>905</v>
      </c>
      <c r="C170" s="27" t="s">
        <v>52</v>
      </c>
      <c r="D170" s="27" t="s">
        <v>51</v>
      </c>
      <c r="E170" s="27" t="s">
        <v>398</v>
      </c>
      <c r="F170" s="27" t="s">
        <v>74</v>
      </c>
      <c r="G170" s="28">
        <v>45.1</v>
      </c>
      <c r="H170" s="28">
        <v>45.1</v>
      </c>
      <c r="I170" s="28">
        <v>45.1</v>
      </c>
      <c r="J170" s="21"/>
      <c r="K170" s="21"/>
      <c r="L170" s="21"/>
      <c r="M170" s="21"/>
      <c r="N170" s="21"/>
    </row>
    <row r="171" spans="1:14" s="9" customFormat="1" ht="25.5" x14ac:dyDescent="0.2">
      <c r="A171" s="48" t="s">
        <v>64</v>
      </c>
      <c r="B171" s="45">
        <v>906</v>
      </c>
      <c r="C171" s="49"/>
      <c r="D171" s="49"/>
      <c r="E171" s="49"/>
      <c r="F171" s="49"/>
      <c r="G171" s="47">
        <f t="shared" ref="G171:I172" si="29">G172</f>
        <v>2029.9</v>
      </c>
      <c r="H171" s="47">
        <f t="shared" si="29"/>
        <v>2029.9</v>
      </c>
      <c r="I171" s="47">
        <f t="shared" si="29"/>
        <v>2029.9</v>
      </c>
      <c r="J171" s="86"/>
      <c r="K171" s="86"/>
      <c r="L171" s="86"/>
    </row>
    <row r="172" spans="1:14" s="3" customFormat="1" x14ac:dyDescent="0.2">
      <c r="A172" s="13" t="s">
        <v>61</v>
      </c>
      <c r="B172" s="50">
        <v>906</v>
      </c>
      <c r="C172" s="1" t="s">
        <v>12</v>
      </c>
      <c r="D172" s="1"/>
      <c r="E172" s="1"/>
      <c r="F172" s="1"/>
      <c r="G172" s="2">
        <f t="shared" si="29"/>
        <v>2029.9</v>
      </c>
      <c r="H172" s="2">
        <f t="shared" si="29"/>
        <v>2029.9</v>
      </c>
      <c r="I172" s="2">
        <f t="shared" si="29"/>
        <v>2029.9</v>
      </c>
    </row>
    <row r="173" spans="1:14" s="9" customFormat="1" ht="38.25" x14ac:dyDescent="0.2">
      <c r="A173" s="11" t="s">
        <v>83</v>
      </c>
      <c r="B173" s="14">
        <v>906</v>
      </c>
      <c r="C173" s="8" t="s">
        <v>12</v>
      </c>
      <c r="D173" s="8" t="s">
        <v>51</v>
      </c>
      <c r="E173" s="8"/>
      <c r="F173" s="8"/>
      <c r="G173" s="4">
        <f>G174+G178</f>
        <v>2029.9</v>
      </c>
      <c r="H173" s="4">
        <f>H174+H178</f>
        <v>2029.9</v>
      </c>
      <c r="I173" s="4">
        <f>I174+I178</f>
        <v>2029.9</v>
      </c>
    </row>
    <row r="174" spans="1:14" x14ac:dyDescent="0.2">
      <c r="A174" s="18" t="s">
        <v>305</v>
      </c>
      <c r="B174" s="22">
        <v>906</v>
      </c>
      <c r="C174" s="19" t="s">
        <v>12</v>
      </c>
      <c r="D174" s="19" t="s">
        <v>51</v>
      </c>
      <c r="E174" s="19" t="s">
        <v>304</v>
      </c>
      <c r="F174" s="19"/>
      <c r="G174" s="20">
        <f>+G175+G176+G177</f>
        <v>1501.1</v>
      </c>
      <c r="H174" s="20">
        <f>+H175+H176+H177</f>
        <v>1501.1</v>
      </c>
      <c r="I174" s="20">
        <f>+I175+I176+I177</f>
        <v>1501.1</v>
      </c>
    </row>
    <row r="175" spans="1:14" s="29" customFormat="1" ht="63.75" x14ac:dyDescent="0.2">
      <c r="A175" s="34" t="s">
        <v>67</v>
      </c>
      <c r="B175" s="36">
        <v>906</v>
      </c>
      <c r="C175" s="27" t="s">
        <v>12</v>
      </c>
      <c r="D175" s="27" t="s">
        <v>51</v>
      </c>
      <c r="E175" s="27" t="s">
        <v>304</v>
      </c>
      <c r="F175" s="30" t="s">
        <v>68</v>
      </c>
      <c r="G175" s="28">
        <v>1181</v>
      </c>
      <c r="H175" s="28">
        <v>1181</v>
      </c>
      <c r="I175" s="28">
        <v>1181</v>
      </c>
      <c r="J175" s="21"/>
      <c r="K175" s="21"/>
      <c r="L175" s="21"/>
      <c r="M175" s="21"/>
      <c r="N175" s="21"/>
    </row>
    <row r="176" spans="1:14" s="29" customFormat="1" ht="25.5" x14ac:dyDescent="0.2">
      <c r="A176" s="31" t="s">
        <v>77</v>
      </c>
      <c r="B176" s="35">
        <v>906</v>
      </c>
      <c r="C176" s="27" t="s">
        <v>12</v>
      </c>
      <c r="D176" s="27" t="s">
        <v>51</v>
      </c>
      <c r="E176" s="27" t="s">
        <v>304</v>
      </c>
      <c r="F176" s="30" t="s">
        <v>69</v>
      </c>
      <c r="G176" s="28">
        <v>319.5</v>
      </c>
      <c r="H176" s="28">
        <v>319.5</v>
      </c>
      <c r="I176" s="28">
        <v>319.5</v>
      </c>
      <c r="J176" s="21"/>
      <c r="K176" s="21"/>
      <c r="L176" s="21"/>
      <c r="M176" s="21"/>
      <c r="N176" s="21"/>
    </row>
    <row r="177" spans="1:14" s="29" customFormat="1" x14ac:dyDescent="0.2">
      <c r="A177" s="31" t="s">
        <v>73</v>
      </c>
      <c r="B177" s="35">
        <v>906</v>
      </c>
      <c r="C177" s="27" t="s">
        <v>12</v>
      </c>
      <c r="D177" s="27" t="s">
        <v>51</v>
      </c>
      <c r="E177" s="27" t="s">
        <v>304</v>
      </c>
      <c r="F177" s="27" t="s">
        <v>74</v>
      </c>
      <c r="G177" s="28">
        <v>0.6</v>
      </c>
      <c r="H177" s="28">
        <v>0.6</v>
      </c>
      <c r="I177" s="28">
        <v>0.6</v>
      </c>
      <c r="J177" s="21"/>
      <c r="K177" s="21"/>
      <c r="L177" s="21"/>
      <c r="M177" s="21"/>
      <c r="N177" s="21"/>
    </row>
    <row r="178" spans="1:14" x14ac:dyDescent="0.2">
      <c r="A178" s="18" t="s">
        <v>306</v>
      </c>
      <c r="B178" s="22">
        <v>906</v>
      </c>
      <c r="C178" s="19" t="s">
        <v>12</v>
      </c>
      <c r="D178" s="19" t="s">
        <v>51</v>
      </c>
      <c r="E178" s="19" t="s">
        <v>307</v>
      </c>
      <c r="F178" s="19"/>
      <c r="G178" s="20">
        <f>G179</f>
        <v>528.80000000000007</v>
      </c>
      <c r="H178" s="20">
        <f>H179</f>
        <v>528.80000000000007</v>
      </c>
      <c r="I178" s="20">
        <f>I179</f>
        <v>528.80000000000007</v>
      </c>
    </row>
    <row r="179" spans="1:14" s="29" customFormat="1" ht="63.75" x14ac:dyDescent="0.2">
      <c r="A179" s="34" t="s">
        <v>67</v>
      </c>
      <c r="B179" s="36">
        <v>906</v>
      </c>
      <c r="C179" s="27" t="s">
        <v>12</v>
      </c>
      <c r="D179" s="27" t="s">
        <v>51</v>
      </c>
      <c r="E179" s="27" t="s">
        <v>307</v>
      </c>
      <c r="F179" s="30" t="s">
        <v>68</v>
      </c>
      <c r="G179" s="28">
        <f>406.1+122.7</f>
        <v>528.80000000000007</v>
      </c>
      <c r="H179" s="28">
        <f t="shared" ref="H179:I179" si="30">406.1+122.7</f>
        <v>528.80000000000007</v>
      </c>
      <c r="I179" s="28">
        <f t="shared" si="30"/>
        <v>528.80000000000007</v>
      </c>
    </row>
    <row r="180" spans="1:14" s="9" customFormat="1" ht="25.5" x14ac:dyDescent="0.2">
      <c r="A180" s="48" t="s">
        <v>78</v>
      </c>
      <c r="B180" s="45">
        <v>907</v>
      </c>
      <c r="C180" s="49"/>
      <c r="D180" s="49"/>
      <c r="E180" s="49"/>
      <c r="F180" s="49"/>
      <c r="G180" s="47">
        <f>G181</f>
        <v>6357.4000000000005</v>
      </c>
      <c r="H180" s="47">
        <f>H181</f>
        <v>6307.1</v>
      </c>
      <c r="I180" s="47">
        <f>I181</f>
        <v>6307.1</v>
      </c>
    </row>
    <row r="181" spans="1:14" s="3" customFormat="1" x14ac:dyDescent="0.2">
      <c r="A181" s="13" t="s">
        <v>61</v>
      </c>
      <c r="B181" s="50">
        <v>907</v>
      </c>
      <c r="C181" s="1" t="s">
        <v>12</v>
      </c>
      <c r="D181" s="1"/>
      <c r="E181" s="1"/>
      <c r="F181" s="1"/>
      <c r="G181" s="2">
        <f>G182+G191</f>
        <v>6357.4000000000005</v>
      </c>
      <c r="H181" s="2">
        <f>H182+H191</f>
        <v>6307.1</v>
      </c>
      <c r="I181" s="2">
        <f>I182+I191</f>
        <v>6307.1</v>
      </c>
    </row>
    <row r="182" spans="1:14" s="9" customFormat="1" ht="51" x14ac:dyDescent="0.2">
      <c r="A182" s="11" t="s">
        <v>15</v>
      </c>
      <c r="B182" s="14">
        <v>907</v>
      </c>
      <c r="C182" s="8" t="s">
        <v>12</v>
      </c>
      <c r="D182" s="8" t="s">
        <v>16</v>
      </c>
      <c r="E182" s="8"/>
      <c r="F182" s="8"/>
      <c r="G182" s="4">
        <f>G183+G187+G189</f>
        <v>6233.6</v>
      </c>
      <c r="H182" s="4">
        <f>H183+H187+H189</f>
        <v>6233.6</v>
      </c>
      <c r="I182" s="4">
        <f>I183+I187+I189</f>
        <v>6233.6</v>
      </c>
    </row>
    <row r="183" spans="1:14" x14ac:dyDescent="0.2">
      <c r="A183" s="18" t="s">
        <v>305</v>
      </c>
      <c r="B183" s="22">
        <v>907</v>
      </c>
      <c r="C183" s="19" t="s">
        <v>12</v>
      </c>
      <c r="D183" s="19" t="s">
        <v>16</v>
      </c>
      <c r="E183" s="19" t="s">
        <v>304</v>
      </c>
      <c r="F183" s="19"/>
      <c r="G183" s="20">
        <f>G184+G185+G186</f>
        <v>2563.4</v>
      </c>
      <c r="H183" s="20">
        <f>H184+H185+H186</f>
        <v>2563.4</v>
      </c>
      <c r="I183" s="20">
        <f>I184+I185+I186</f>
        <v>2563.4</v>
      </c>
    </row>
    <row r="184" spans="1:14" s="29" customFormat="1" ht="63.75" x14ac:dyDescent="0.2">
      <c r="A184" s="34" t="s">
        <v>67</v>
      </c>
      <c r="B184" s="36">
        <v>907</v>
      </c>
      <c r="C184" s="27" t="s">
        <v>12</v>
      </c>
      <c r="D184" s="27" t="s">
        <v>16</v>
      </c>
      <c r="E184" s="27" t="s">
        <v>304</v>
      </c>
      <c r="F184" s="30" t="s">
        <v>68</v>
      </c>
      <c r="G184" s="28">
        <v>2107.4</v>
      </c>
      <c r="H184" s="28">
        <v>2107.4</v>
      </c>
      <c r="I184" s="28">
        <v>2107.4</v>
      </c>
    </row>
    <row r="185" spans="1:14" s="29" customFormat="1" ht="25.5" x14ac:dyDescent="0.2">
      <c r="A185" s="31" t="s">
        <v>77</v>
      </c>
      <c r="B185" s="36">
        <v>907</v>
      </c>
      <c r="C185" s="27" t="s">
        <v>12</v>
      </c>
      <c r="D185" s="27" t="s">
        <v>16</v>
      </c>
      <c r="E185" s="27" t="s">
        <v>304</v>
      </c>
      <c r="F185" s="30" t="s">
        <v>69</v>
      </c>
      <c r="G185" s="28">
        <v>453.9</v>
      </c>
      <c r="H185" s="28">
        <v>453.9</v>
      </c>
      <c r="I185" s="28">
        <v>453.9</v>
      </c>
    </row>
    <row r="186" spans="1:14" s="29" customFormat="1" x14ac:dyDescent="0.2">
      <c r="A186" s="31" t="s">
        <v>73</v>
      </c>
      <c r="B186" s="35">
        <v>907</v>
      </c>
      <c r="C186" s="27" t="s">
        <v>12</v>
      </c>
      <c r="D186" s="27" t="s">
        <v>16</v>
      </c>
      <c r="E186" s="27" t="s">
        <v>304</v>
      </c>
      <c r="F186" s="27" t="s">
        <v>74</v>
      </c>
      <c r="G186" s="28">
        <v>2.1</v>
      </c>
      <c r="H186" s="28">
        <v>2.1</v>
      </c>
      <c r="I186" s="28">
        <v>2.1</v>
      </c>
    </row>
    <row r="187" spans="1:14" ht="25.5" x14ac:dyDescent="0.2">
      <c r="A187" s="18" t="s">
        <v>308</v>
      </c>
      <c r="B187" s="22">
        <v>907</v>
      </c>
      <c r="C187" s="19" t="s">
        <v>12</v>
      </c>
      <c r="D187" s="19" t="s">
        <v>16</v>
      </c>
      <c r="E187" s="19" t="s">
        <v>310</v>
      </c>
      <c r="F187" s="19"/>
      <c r="G187" s="20">
        <f>G188</f>
        <v>1253.3</v>
      </c>
      <c r="H187" s="20">
        <f>H188</f>
        <v>1253.3</v>
      </c>
      <c r="I187" s="20">
        <f>I188</f>
        <v>1253.3</v>
      </c>
    </row>
    <row r="188" spans="1:14" s="29" customFormat="1" ht="63.75" x14ac:dyDescent="0.2">
      <c r="A188" s="34" t="s">
        <v>67</v>
      </c>
      <c r="B188" s="36">
        <v>907</v>
      </c>
      <c r="C188" s="27" t="s">
        <v>12</v>
      </c>
      <c r="D188" s="27" t="s">
        <v>16</v>
      </c>
      <c r="E188" s="27" t="s">
        <v>310</v>
      </c>
      <c r="F188" s="30" t="s">
        <v>68</v>
      </c>
      <c r="G188" s="28">
        <v>1253.3</v>
      </c>
      <c r="H188" s="28">
        <v>1253.3</v>
      </c>
      <c r="I188" s="28">
        <v>1253.3</v>
      </c>
    </row>
    <row r="189" spans="1:14" ht="25.5" x14ac:dyDescent="0.2">
      <c r="A189" s="18" t="s">
        <v>309</v>
      </c>
      <c r="B189" s="22">
        <v>907</v>
      </c>
      <c r="C189" s="19" t="s">
        <v>12</v>
      </c>
      <c r="D189" s="19" t="s">
        <v>16</v>
      </c>
      <c r="E189" s="19" t="s">
        <v>311</v>
      </c>
      <c r="F189" s="19"/>
      <c r="G189" s="20">
        <f>G190</f>
        <v>2416.9</v>
      </c>
      <c r="H189" s="20">
        <f>H190</f>
        <v>2416.9</v>
      </c>
      <c r="I189" s="20">
        <f>I190</f>
        <v>2416.9</v>
      </c>
    </row>
    <row r="190" spans="1:14" s="29" customFormat="1" ht="63.75" x14ac:dyDescent="0.2">
      <c r="A190" s="34" t="s">
        <v>67</v>
      </c>
      <c r="B190" s="36">
        <v>907</v>
      </c>
      <c r="C190" s="27" t="s">
        <v>12</v>
      </c>
      <c r="D190" s="27" t="s">
        <v>16</v>
      </c>
      <c r="E190" s="27" t="s">
        <v>311</v>
      </c>
      <c r="F190" s="30" t="s">
        <v>68</v>
      </c>
      <c r="G190" s="28">
        <v>2416.9</v>
      </c>
      <c r="H190" s="28">
        <v>2416.9</v>
      </c>
      <c r="I190" s="28">
        <v>2416.9</v>
      </c>
    </row>
    <row r="191" spans="1:14" s="9" customFormat="1" x14ac:dyDescent="0.2">
      <c r="A191" s="11" t="s">
        <v>24</v>
      </c>
      <c r="B191" s="14">
        <v>907</v>
      </c>
      <c r="C191" s="8" t="s">
        <v>12</v>
      </c>
      <c r="D191" s="8" t="s">
        <v>62</v>
      </c>
      <c r="E191" s="8"/>
      <c r="F191" s="8"/>
      <c r="G191" s="4">
        <f t="shared" ref="G191:I192" si="31">G192</f>
        <v>123.8</v>
      </c>
      <c r="H191" s="4">
        <f t="shared" si="31"/>
        <v>73.5</v>
      </c>
      <c r="I191" s="4">
        <f t="shared" si="31"/>
        <v>73.5</v>
      </c>
    </row>
    <row r="192" spans="1:14" x14ac:dyDescent="0.2">
      <c r="A192" s="18" t="s">
        <v>313</v>
      </c>
      <c r="B192" s="22">
        <v>907</v>
      </c>
      <c r="C192" s="19" t="s">
        <v>12</v>
      </c>
      <c r="D192" s="19" t="s">
        <v>62</v>
      </c>
      <c r="E192" s="19" t="s">
        <v>312</v>
      </c>
      <c r="F192" s="19"/>
      <c r="G192" s="20">
        <f t="shared" si="31"/>
        <v>123.8</v>
      </c>
      <c r="H192" s="20">
        <f t="shared" si="31"/>
        <v>73.5</v>
      </c>
      <c r="I192" s="20">
        <f t="shared" si="31"/>
        <v>73.5</v>
      </c>
    </row>
    <row r="193" spans="1:14" s="29" customFormat="1" x14ac:dyDescent="0.2">
      <c r="A193" s="31" t="s">
        <v>70</v>
      </c>
      <c r="B193" s="35">
        <v>907</v>
      </c>
      <c r="C193" s="27" t="s">
        <v>12</v>
      </c>
      <c r="D193" s="27" t="s">
        <v>62</v>
      </c>
      <c r="E193" s="27" t="s">
        <v>312</v>
      </c>
      <c r="F193" s="27" t="s">
        <v>71</v>
      </c>
      <c r="G193" s="28">
        <f>123.8</f>
        <v>123.8</v>
      </c>
      <c r="H193" s="28">
        <f>73.5</f>
        <v>73.5</v>
      </c>
      <c r="I193" s="28">
        <f>73.5</f>
        <v>73.5</v>
      </c>
    </row>
    <row r="194" spans="1:14" s="9" customFormat="1" ht="25.5" x14ac:dyDescent="0.2">
      <c r="A194" s="48" t="s">
        <v>46</v>
      </c>
      <c r="B194" s="45">
        <v>911</v>
      </c>
      <c r="C194" s="49"/>
      <c r="D194" s="49"/>
      <c r="E194" s="49"/>
      <c r="F194" s="49"/>
      <c r="G194" s="47">
        <f>G195+G265</f>
        <v>938364</v>
      </c>
      <c r="H194" s="47">
        <f>H195+H265</f>
        <v>938406.8</v>
      </c>
      <c r="I194" s="47">
        <f>I195+I265</f>
        <v>938446.8</v>
      </c>
    </row>
    <row r="195" spans="1:14" s="3" customFormat="1" x14ac:dyDescent="0.2">
      <c r="A195" s="13" t="s">
        <v>37</v>
      </c>
      <c r="B195" s="50">
        <v>911</v>
      </c>
      <c r="C195" s="1" t="s">
        <v>19</v>
      </c>
      <c r="D195" s="1"/>
      <c r="E195" s="1"/>
      <c r="F195" s="1"/>
      <c r="G195" s="2">
        <f>G196+G209+G232+G235</f>
        <v>882366</v>
      </c>
      <c r="H195" s="2">
        <f>H196+H209+H232+H235</f>
        <v>882408.8</v>
      </c>
      <c r="I195" s="2">
        <f>I196+I209+I232+I235</f>
        <v>882448.8</v>
      </c>
    </row>
    <row r="196" spans="1:14" s="9" customFormat="1" x14ac:dyDescent="0.2">
      <c r="A196" s="11" t="s">
        <v>38</v>
      </c>
      <c r="B196" s="14">
        <v>911</v>
      </c>
      <c r="C196" s="8" t="s">
        <v>19</v>
      </c>
      <c r="D196" s="8" t="s">
        <v>12</v>
      </c>
      <c r="E196" s="8"/>
      <c r="F196" s="8"/>
      <c r="G196" s="4">
        <f>G197+G201+G206</f>
        <v>298666.30000000005</v>
      </c>
      <c r="H196" s="4">
        <f>H197+H201+H206</f>
        <v>295859.90000000002</v>
      </c>
      <c r="I196" s="4">
        <f>I197+I201+I206</f>
        <v>297319.90000000002</v>
      </c>
    </row>
    <row r="197" spans="1:14" ht="51" x14ac:dyDescent="0.2">
      <c r="A197" s="18" t="s">
        <v>314</v>
      </c>
      <c r="B197" s="22">
        <v>911</v>
      </c>
      <c r="C197" s="19" t="s">
        <v>19</v>
      </c>
      <c r="D197" s="19" t="s">
        <v>12</v>
      </c>
      <c r="E197" s="19" t="s">
        <v>137</v>
      </c>
      <c r="F197" s="19"/>
      <c r="G197" s="20">
        <f>G200+G198+G199</f>
        <v>189487</v>
      </c>
      <c r="H197" s="20">
        <f>H200+H198+H199</f>
        <v>189487</v>
      </c>
      <c r="I197" s="20">
        <f>I200+I198+I199</f>
        <v>189487</v>
      </c>
    </row>
    <row r="198" spans="1:14" ht="63.75" x14ac:dyDescent="0.2">
      <c r="A198" s="34" t="s">
        <v>67</v>
      </c>
      <c r="B198" s="26">
        <v>911</v>
      </c>
      <c r="C198" s="27" t="s">
        <v>19</v>
      </c>
      <c r="D198" s="27" t="s">
        <v>12</v>
      </c>
      <c r="E198" s="27" t="s">
        <v>137</v>
      </c>
      <c r="F198" s="30" t="s">
        <v>68</v>
      </c>
      <c r="G198" s="28">
        <f>19607.8+5921.5</f>
        <v>25529.3</v>
      </c>
      <c r="H198" s="28">
        <f>19607.8+5921.5</f>
        <v>25529.3</v>
      </c>
      <c r="I198" s="28">
        <f>19607.8+5921.5</f>
        <v>25529.3</v>
      </c>
    </row>
    <row r="199" spans="1:14" ht="25.5" x14ac:dyDescent="0.2">
      <c r="A199" s="31" t="s">
        <v>77</v>
      </c>
      <c r="B199" s="26">
        <v>911</v>
      </c>
      <c r="C199" s="27" t="s">
        <v>19</v>
      </c>
      <c r="D199" s="27" t="s">
        <v>12</v>
      </c>
      <c r="E199" s="27" t="s">
        <v>137</v>
      </c>
      <c r="F199" s="30" t="s">
        <v>69</v>
      </c>
      <c r="G199" s="28">
        <f>183.1</f>
        <v>183.1</v>
      </c>
      <c r="H199" s="28">
        <f>183.1</f>
        <v>183.1</v>
      </c>
      <c r="I199" s="28">
        <f>183.1</f>
        <v>183.1</v>
      </c>
    </row>
    <row r="200" spans="1:14" s="29" customFormat="1" ht="25.5" x14ac:dyDescent="0.2">
      <c r="A200" s="31" t="s">
        <v>169</v>
      </c>
      <c r="B200" s="35">
        <v>911</v>
      </c>
      <c r="C200" s="27" t="s">
        <v>19</v>
      </c>
      <c r="D200" s="27" t="s">
        <v>12</v>
      </c>
      <c r="E200" s="27" t="s">
        <v>137</v>
      </c>
      <c r="F200" s="27" t="s">
        <v>66</v>
      </c>
      <c r="G200" s="28">
        <v>163774.6</v>
      </c>
      <c r="H200" s="28">
        <v>163774.6</v>
      </c>
      <c r="I200" s="28">
        <v>163774.6</v>
      </c>
    </row>
    <row r="201" spans="1:14" ht="63.75" x14ac:dyDescent="0.2">
      <c r="A201" s="18" t="s">
        <v>315</v>
      </c>
      <c r="B201" s="22">
        <v>911</v>
      </c>
      <c r="C201" s="19" t="s">
        <v>19</v>
      </c>
      <c r="D201" s="19" t="s">
        <v>12</v>
      </c>
      <c r="E201" s="19" t="s">
        <v>331</v>
      </c>
      <c r="F201" s="19"/>
      <c r="G201" s="20">
        <f>G204+G203+G202+G205</f>
        <v>103872.9</v>
      </c>
      <c r="H201" s="20">
        <f t="shared" ref="H201:I201" si="32">H204+H203+H202+H205</f>
        <v>106372.9</v>
      </c>
      <c r="I201" s="20">
        <f t="shared" si="32"/>
        <v>107832.9</v>
      </c>
    </row>
    <row r="202" spans="1:14" ht="63.75" x14ac:dyDescent="0.2">
      <c r="A202" s="34" t="s">
        <v>67</v>
      </c>
      <c r="B202" s="22">
        <v>911</v>
      </c>
      <c r="C202" s="19" t="s">
        <v>19</v>
      </c>
      <c r="D202" s="19" t="s">
        <v>12</v>
      </c>
      <c r="E202" s="19" t="s">
        <v>331</v>
      </c>
      <c r="F202" s="19" t="s">
        <v>68</v>
      </c>
      <c r="G202" s="20">
        <f>7002.9</f>
        <v>7002.9</v>
      </c>
      <c r="H202" s="20">
        <f t="shared" ref="H202:I202" si="33">7002.9</f>
        <v>7002.9</v>
      </c>
      <c r="I202" s="20">
        <f t="shared" si="33"/>
        <v>7002.9</v>
      </c>
    </row>
    <row r="203" spans="1:14" ht="25.5" x14ac:dyDescent="0.2">
      <c r="A203" s="31" t="s">
        <v>77</v>
      </c>
      <c r="B203" s="26">
        <v>911</v>
      </c>
      <c r="C203" s="27" t="s">
        <v>19</v>
      </c>
      <c r="D203" s="27" t="s">
        <v>12</v>
      </c>
      <c r="E203" s="27" t="s">
        <v>331</v>
      </c>
      <c r="F203" s="30" t="s">
        <v>69</v>
      </c>
      <c r="G203" s="28">
        <f>3821.9+4028.8</f>
        <v>7850.7000000000007</v>
      </c>
      <c r="H203" s="28">
        <f t="shared" ref="H203:I203" si="34">3821.9+4028.8</f>
        <v>7850.7000000000007</v>
      </c>
      <c r="I203" s="28">
        <f t="shared" si="34"/>
        <v>7850.7000000000007</v>
      </c>
    </row>
    <row r="204" spans="1:14" s="29" customFormat="1" ht="25.5" x14ac:dyDescent="0.2">
      <c r="A204" s="31" t="s">
        <v>169</v>
      </c>
      <c r="B204" s="35">
        <v>911</v>
      </c>
      <c r="C204" s="27" t="s">
        <v>19</v>
      </c>
      <c r="D204" s="27" t="s">
        <v>12</v>
      </c>
      <c r="E204" s="27" t="s">
        <v>331</v>
      </c>
      <c r="F204" s="27" t="s">
        <v>66</v>
      </c>
      <c r="G204" s="28">
        <f>88902.6</f>
        <v>88902.6</v>
      </c>
      <c r="H204" s="28">
        <f>91402.6</f>
        <v>91402.6</v>
      </c>
      <c r="I204" s="28">
        <f>92862.6</f>
        <v>92862.6</v>
      </c>
      <c r="J204" s="21"/>
      <c r="K204" s="21"/>
      <c r="L204" s="21"/>
      <c r="M204" s="21"/>
      <c r="N204" s="21"/>
    </row>
    <row r="205" spans="1:14" s="29" customFormat="1" x14ac:dyDescent="0.2">
      <c r="A205" s="31" t="s">
        <v>73</v>
      </c>
      <c r="B205" s="35">
        <v>911</v>
      </c>
      <c r="C205" s="27" t="s">
        <v>19</v>
      </c>
      <c r="D205" s="27" t="s">
        <v>12</v>
      </c>
      <c r="E205" s="27" t="s">
        <v>331</v>
      </c>
      <c r="F205" s="27" t="s">
        <v>74</v>
      </c>
      <c r="G205" s="28">
        <f>116.7</f>
        <v>116.7</v>
      </c>
      <c r="H205" s="28">
        <f t="shared" ref="H205:I205" si="35">116.7</f>
        <v>116.7</v>
      </c>
      <c r="I205" s="28">
        <f t="shared" si="35"/>
        <v>116.7</v>
      </c>
      <c r="J205" s="21"/>
      <c r="K205" s="21"/>
      <c r="L205" s="21"/>
      <c r="M205" s="21"/>
      <c r="N205" s="21"/>
    </row>
    <row r="206" spans="1:14" ht="63.75" x14ac:dyDescent="0.2">
      <c r="A206" s="18" t="s">
        <v>317</v>
      </c>
      <c r="B206" s="22">
        <v>911</v>
      </c>
      <c r="C206" s="19" t="s">
        <v>19</v>
      </c>
      <c r="D206" s="19" t="s">
        <v>12</v>
      </c>
      <c r="E206" s="19" t="s">
        <v>316</v>
      </c>
      <c r="F206" s="19"/>
      <c r="G206" s="20">
        <f>G208+G207</f>
        <v>5306.4</v>
      </c>
      <c r="H206" s="20">
        <f>H208+H207</f>
        <v>0</v>
      </c>
      <c r="I206" s="20">
        <f>I208+I207</f>
        <v>0</v>
      </c>
    </row>
    <row r="207" spans="1:14" s="29" customFormat="1" ht="25.5" x14ac:dyDescent="0.2">
      <c r="A207" s="31" t="s">
        <v>84</v>
      </c>
      <c r="B207" s="31">
        <v>911</v>
      </c>
      <c r="C207" s="27" t="s">
        <v>19</v>
      </c>
      <c r="D207" s="27" t="s">
        <v>12</v>
      </c>
      <c r="E207" s="27" t="s">
        <v>316</v>
      </c>
      <c r="F207" s="27" t="s">
        <v>72</v>
      </c>
      <c r="G207" s="28">
        <v>4346.3999999999996</v>
      </c>
      <c r="H207" s="28">
        <v>0</v>
      </c>
      <c r="I207" s="28">
        <v>0</v>
      </c>
      <c r="J207" s="21"/>
      <c r="K207" s="21"/>
      <c r="L207" s="21"/>
      <c r="M207" s="21"/>
      <c r="N207" s="21"/>
    </row>
    <row r="208" spans="1:14" s="29" customFormat="1" ht="25.5" x14ac:dyDescent="0.2">
      <c r="A208" s="31" t="s">
        <v>169</v>
      </c>
      <c r="B208" s="35">
        <v>911</v>
      </c>
      <c r="C208" s="27" t="s">
        <v>19</v>
      </c>
      <c r="D208" s="27" t="s">
        <v>12</v>
      </c>
      <c r="E208" s="27" t="s">
        <v>316</v>
      </c>
      <c r="F208" s="27" t="s">
        <v>66</v>
      </c>
      <c r="G208" s="28">
        <v>960</v>
      </c>
      <c r="H208" s="28">
        <v>0</v>
      </c>
      <c r="I208" s="28">
        <v>0</v>
      </c>
    </row>
    <row r="209" spans="1:14" s="9" customFormat="1" x14ac:dyDescent="0.2">
      <c r="A209" s="11" t="s">
        <v>39</v>
      </c>
      <c r="B209" s="14">
        <v>911</v>
      </c>
      <c r="C209" s="8" t="s">
        <v>19</v>
      </c>
      <c r="D209" s="8" t="s">
        <v>14</v>
      </c>
      <c r="E209" s="8"/>
      <c r="F209" s="8"/>
      <c r="G209" s="4">
        <f>G210+G214+G218+G220+G222+G226+G229</f>
        <v>442940.7</v>
      </c>
      <c r="H209" s="4">
        <f t="shared" ref="H209:I209" si="36">H210+H214+H218+H220+H222+H226+H229</f>
        <v>444429.89999999997</v>
      </c>
      <c r="I209" s="4">
        <f t="shared" si="36"/>
        <v>444969.89999999997</v>
      </c>
    </row>
    <row r="210" spans="1:14" ht="38.25" x14ac:dyDescent="0.2">
      <c r="A210" s="18" t="s">
        <v>318</v>
      </c>
      <c r="B210" s="22">
        <v>911</v>
      </c>
      <c r="C210" s="19" t="s">
        <v>19</v>
      </c>
      <c r="D210" s="19" t="s">
        <v>14</v>
      </c>
      <c r="E210" s="19" t="s">
        <v>135</v>
      </c>
      <c r="F210" s="19"/>
      <c r="G210" s="20">
        <f>G211+G212+G213</f>
        <v>63155</v>
      </c>
      <c r="H210" s="20">
        <f>H211+H212+H213</f>
        <v>63155</v>
      </c>
      <c r="I210" s="20">
        <f>I211+I212+I213</f>
        <v>63155</v>
      </c>
    </row>
    <row r="211" spans="1:14" s="29" customFormat="1" ht="63.75" x14ac:dyDescent="0.2">
      <c r="A211" s="26" t="s">
        <v>67</v>
      </c>
      <c r="B211" s="35">
        <v>911</v>
      </c>
      <c r="C211" s="27" t="s">
        <v>19</v>
      </c>
      <c r="D211" s="27" t="s">
        <v>14</v>
      </c>
      <c r="E211" s="27" t="s">
        <v>135</v>
      </c>
      <c r="F211" s="30" t="s">
        <v>68</v>
      </c>
      <c r="G211" s="28">
        <f>28679.2+8661.1+4.7</f>
        <v>37345</v>
      </c>
      <c r="H211" s="28">
        <f>28679.2+8661.1+4.7</f>
        <v>37345</v>
      </c>
      <c r="I211" s="28">
        <f>28679.2+8661.1+4.7</f>
        <v>37345</v>
      </c>
      <c r="J211" s="21"/>
      <c r="K211" s="21"/>
      <c r="L211" s="21"/>
      <c r="M211" s="21"/>
      <c r="N211" s="21"/>
    </row>
    <row r="212" spans="1:14" s="29" customFormat="1" ht="25.5" x14ac:dyDescent="0.2">
      <c r="A212" s="31" t="s">
        <v>77</v>
      </c>
      <c r="B212" s="35">
        <v>911</v>
      </c>
      <c r="C212" s="27" t="s">
        <v>19</v>
      </c>
      <c r="D212" s="27" t="s">
        <v>14</v>
      </c>
      <c r="E212" s="27" t="s">
        <v>135</v>
      </c>
      <c r="F212" s="30" t="s">
        <v>69</v>
      </c>
      <c r="G212" s="28">
        <v>23730</v>
      </c>
      <c r="H212" s="28">
        <v>23730</v>
      </c>
      <c r="I212" s="28">
        <v>23730</v>
      </c>
      <c r="J212" s="21"/>
      <c r="K212" s="21"/>
      <c r="L212" s="21"/>
      <c r="M212" s="21"/>
      <c r="N212" s="21"/>
    </row>
    <row r="213" spans="1:14" s="29" customFormat="1" x14ac:dyDescent="0.2">
      <c r="A213" s="31" t="s">
        <v>73</v>
      </c>
      <c r="B213" s="35">
        <v>911</v>
      </c>
      <c r="C213" s="27" t="s">
        <v>19</v>
      </c>
      <c r="D213" s="27" t="s">
        <v>14</v>
      </c>
      <c r="E213" s="27" t="s">
        <v>135</v>
      </c>
      <c r="F213" s="27" t="s">
        <v>74</v>
      </c>
      <c r="G213" s="28">
        <v>2080</v>
      </c>
      <c r="H213" s="28">
        <v>2080</v>
      </c>
      <c r="I213" s="28">
        <v>2080</v>
      </c>
      <c r="J213" s="21"/>
      <c r="K213" s="21"/>
      <c r="L213" s="21"/>
      <c r="M213" s="21"/>
      <c r="N213" s="21"/>
    </row>
    <row r="214" spans="1:14" ht="76.5" x14ac:dyDescent="0.2">
      <c r="A214" s="18" t="s">
        <v>319</v>
      </c>
      <c r="B214" s="22">
        <v>911</v>
      </c>
      <c r="C214" s="19" t="s">
        <v>19</v>
      </c>
      <c r="D214" s="19" t="s">
        <v>14</v>
      </c>
      <c r="E214" s="19" t="s">
        <v>133</v>
      </c>
      <c r="F214" s="19"/>
      <c r="G214" s="20">
        <f>G217+G215+G216</f>
        <v>318161</v>
      </c>
      <c r="H214" s="20">
        <f>H217+H215+H216</f>
        <v>318161</v>
      </c>
      <c r="I214" s="20">
        <f>I217+I215+I216</f>
        <v>318161</v>
      </c>
    </row>
    <row r="215" spans="1:14" s="29" customFormat="1" ht="63.75" x14ac:dyDescent="0.2">
      <c r="A215" s="26" t="s">
        <v>67</v>
      </c>
      <c r="B215" s="35">
        <v>911</v>
      </c>
      <c r="C215" s="27" t="s">
        <v>19</v>
      </c>
      <c r="D215" s="27" t="s">
        <v>14</v>
      </c>
      <c r="E215" s="27" t="s">
        <v>133</v>
      </c>
      <c r="F215" s="30" t="s">
        <v>68</v>
      </c>
      <c r="G215" s="28">
        <f>47964+14485.1</f>
        <v>62449.1</v>
      </c>
      <c r="H215" s="28">
        <f>47964+14485.1</f>
        <v>62449.1</v>
      </c>
      <c r="I215" s="28">
        <f>47964+14485.1</f>
        <v>62449.1</v>
      </c>
      <c r="J215" s="21"/>
      <c r="K215" s="21"/>
      <c r="L215" s="21"/>
      <c r="M215" s="21"/>
      <c r="N215" s="21"/>
    </row>
    <row r="216" spans="1:14" s="29" customFormat="1" ht="25.5" x14ac:dyDescent="0.2">
      <c r="A216" s="31" t="s">
        <v>77</v>
      </c>
      <c r="B216" s="35">
        <v>911</v>
      </c>
      <c r="C216" s="27" t="s">
        <v>19</v>
      </c>
      <c r="D216" s="27" t="s">
        <v>14</v>
      </c>
      <c r="E216" s="27" t="s">
        <v>133</v>
      </c>
      <c r="F216" s="30" t="s">
        <v>69</v>
      </c>
      <c r="G216" s="28">
        <f>1581.8</f>
        <v>1581.8</v>
      </c>
      <c r="H216" s="28">
        <f>1581.8</f>
        <v>1581.8</v>
      </c>
      <c r="I216" s="28">
        <f>1581.8</f>
        <v>1581.8</v>
      </c>
      <c r="J216" s="21"/>
      <c r="K216" s="21"/>
      <c r="L216" s="21"/>
      <c r="M216" s="21"/>
      <c r="N216" s="21"/>
    </row>
    <row r="217" spans="1:14" s="29" customFormat="1" ht="25.5" x14ac:dyDescent="0.2">
      <c r="A217" s="31" t="s">
        <v>169</v>
      </c>
      <c r="B217" s="35">
        <v>911</v>
      </c>
      <c r="C217" s="27" t="s">
        <v>19</v>
      </c>
      <c r="D217" s="27" t="s">
        <v>14</v>
      </c>
      <c r="E217" s="27" t="s">
        <v>133</v>
      </c>
      <c r="F217" s="27" t="s">
        <v>66</v>
      </c>
      <c r="G217" s="28">
        <f>254130.1</f>
        <v>254130.1</v>
      </c>
      <c r="H217" s="28">
        <f>254130.1</f>
        <v>254130.1</v>
      </c>
      <c r="I217" s="28">
        <f>254130.1</f>
        <v>254130.1</v>
      </c>
      <c r="J217" s="21"/>
      <c r="K217" s="21"/>
      <c r="L217" s="21"/>
      <c r="M217" s="21"/>
      <c r="N217" s="21"/>
    </row>
    <row r="218" spans="1:14" ht="38.25" x14ac:dyDescent="0.2">
      <c r="A218" s="18" t="s">
        <v>320</v>
      </c>
      <c r="B218" s="22">
        <v>911</v>
      </c>
      <c r="C218" s="19" t="s">
        <v>19</v>
      </c>
      <c r="D218" s="19" t="s">
        <v>14</v>
      </c>
      <c r="E218" s="19" t="s">
        <v>134</v>
      </c>
      <c r="F218" s="19"/>
      <c r="G218" s="20">
        <f>G219</f>
        <v>10243</v>
      </c>
      <c r="H218" s="20">
        <f t="shared" ref="H218:I218" si="37">H219</f>
        <v>10243</v>
      </c>
      <c r="I218" s="20">
        <f t="shared" si="37"/>
        <v>10243</v>
      </c>
    </row>
    <row r="219" spans="1:14" s="29" customFormat="1" ht="25.5" x14ac:dyDescent="0.2">
      <c r="A219" s="31" t="s">
        <v>77</v>
      </c>
      <c r="B219" s="35">
        <v>911</v>
      </c>
      <c r="C219" s="27" t="s">
        <v>19</v>
      </c>
      <c r="D219" s="27" t="s">
        <v>14</v>
      </c>
      <c r="E219" s="27" t="s">
        <v>134</v>
      </c>
      <c r="F219" s="30" t="s">
        <v>69</v>
      </c>
      <c r="G219" s="28">
        <f>10243</f>
        <v>10243</v>
      </c>
      <c r="H219" s="28">
        <f>10243</f>
        <v>10243</v>
      </c>
      <c r="I219" s="28">
        <f>10243</f>
        <v>10243</v>
      </c>
      <c r="J219" s="21"/>
      <c r="K219" s="21"/>
      <c r="L219" s="21"/>
      <c r="M219" s="21"/>
      <c r="N219" s="21"/>
    </row>
    <row r="220" spans="1:14" ht="63.75" x14ac:dyDescent="0.2">
      <c r="A220" s="18" t="s">
        <v>323</v>
      </c>
      <c r="B220" s="22">
        <v>911</v>
      </c>
      <c r="C220" s="19" t="s">
        <v>19</v>
      </c>
      <c r="D220" s="19" t="s">
        <v>14</v>
      </c>
      <c r="E220" s="19" t="s">
        <v>322</v>
      </c>
      <c r="F220" s="19"/>
      <c r="G220" s="20">
        <f>G221</f>
        <v>41352.199999999997</v>
      </c>
      <c r="H220" s="20">
        <f>H221</f>
        <v>42298.6</v>
      </c>
      <c r="I220" s="20">
        <f>I221</f>
        <v>42798.6</v>
      </c>
    </row>
    <row r="221" spans="1:14" s="29" customFormat="1" ht="25.5" x14ac:dyDescent="0.2">
      <c r="A221" s="31" t="s">
        <v>169</v>
      </c>
      <c r="B221" s="35">
        <v>911</v>
      </c>
      <c r="C221" s="27" t="s">
        <v>19</v>
      </c>
      <c r="D221" s="27" t="s">
        <v>14</v>
      </c>
      <c r="E221" s="27" t="s">
        <v>322</v>
      </c>
      <c r="F221" s="27" t="s">
        <v>66</v>
      </c>
      <c r="G221" s="28">
        <v>41352.199999999997</v>
      </c>
      <c r="H221" s="28">
        <v>42298.6</v>
      </c>
      <c r="I221" s="28">
        <v>42798.6</v>
      </c>
      <c r="J221" s="21"/>
      <c r="K221" s="21"/>
      <c r="L221" s="21"/>
      <c r="M221" s="21"/>
      <c r="N221" s="21"/>
    </row>
    <row r="222" spans="1:14" ht="63.75" x14ac:dyDescent="0.2">
      <c r="A222" s="18" t="s">
        <v>327</v>
      </c>
      <c r="B222" s="22">
        <v>911</v>
      </c>
      <c r="C222" s="19" t="s">
        <v>19</v>
      </c>
      <c r="D222" s="19" t="s">
        <v>14</v>
      </c>
      <c r="E222" s="19" t="s">
        <v>326</v>
      </c>
      <c r="F222" s="19"/>
      <c r="G222" s="20">
        <f>G223+G224+G225</f>
        <v>8598.2999999999993</v>
      </c>
      <c r="H222" s="20">
        <f>H223+H224+H225</f>
        <v>9098.2999999999993</v>
      </c>
      <c r="I222" s="20">
        <f>I223+I224+I225</f>
        <v>9098.2999999999993</v>
      </c>
    </row>
    <row r="223" spans="1:14" s="29" customFormat="1" ht="54.75" customHeight="1" x14ac:dyDescent="0.2">
      <c r="A223" s="34" t="s">
        <v>67</v>
      </c>
      <c r="B223" s="36">
        <v>911</v>
      </c>
      <c r="C223" s="27" t="s">
        <v>19</v>
      </c>
      <c r="D223" s="27" t="s">
        <v>14</v>
      </c>
      <c r="E223" s="27" t="s">
        <v>326</v>
      </c>
      <c r="F223" s="30" t="s">
        <v>68</v>
      </c>
      <c r="G223" s="28">
        <v>2.4</v>
      </c>
      <c r="H223" s="28">
        <v>2.4</v>
      </c>
      <c r="I223" s="28">
        <v>2.4</v>
      </c>
    </row>
    <row r="224" spans="1:14" s="29" customFormat="1" ht="25.5" x14ac:dyDescent="0.2">
      <c r="A224" s="31" t="s">
        <v>77</v>
      </c>
      <c r="B224" s="36">
        <v>911</v>
      </c>
      <c r="C224" s="27" t="s">
        <v>19</v>
      </c>
      <c r="D224" s="27" t="s">
        <v>14</v>
      </c>
      <c r="E224" s="27" t="s">
        <v>326</v>
      </c>
      <c r="F224" s="30" t="s">
        <v>69</v>
      </c>
      <c r="G224" s="28">
        <v>8176.9</v>
      </c>
      <c r="H224" s="28">
        <v>8676.9</v>
      </c>
      <c r="I224" s="28">
        <v>8676.9</v>
      </c>
    </row>
    <row r="225" spans="1:14" s="29" customFormat="1" x14ac:dyDescent="0.2">
      <c r="A225" s="31" t="s">
        <v>73</v>
      </c>
      <c r="B225" s="35">
        <v>911</v>
      </c>
      <c r="C225" s="27" t="s">
        <v>19</v>
      </c>
      <c r="D225" s="27" t="s">
        <v>14</v>
      </c>
      <c r="E225" s="27" t="s">
        <v>326</v>
      </c>
      <c r="F225" s="27" t="s">
        <v>74</v>
      </c>
      <c r="G225" s="28">
        <v>419</v>
      </c>
      <c r="H225" s="28">
        <v>419</v>
      </c>
      <c r="I225" s="28">
        <v>419</v>
      </c>
    </row>
    <row r="226" spans="1:14" ht="76.5" x14ac:dyDescent="0.2">
      <c r="A226" s="18" t="s">
        <v>328</v>
      </c>
      <c r="B226" s="22">
        <v>911</v>
      </c>
      <c r="C226" s="19" t="s">
        <v>19</v>
      </c>
      <c r="D226" s="19" t="s">
        <v>14</v>
      </c>
      <c r="E226" s="19" t="s">
        <v>332</v>
      </c>
      <c r="F226" s="19"/>
      <c r="G226" s="20">
        <f>G227+G228</f>
        <v>1114.2</v>
      </c>
      <c r="H226" s="20">
        <f>H227+H228</f>
        <v>1157</v>
      </c>
      <c r="I226" s="20">
        <f>I227+I228</f>
        <v>1197</v>
      </c>
    </row>
    <row r="227" spans="1:14" s="29" customFormat="1" ht="25.5" x14ac:dyDescent="0.2">
      <c r="A227" s="31" t="s">
        <v>77</v>
      </c>
      <c r="B227" s="36">
        <v>911</v>
      </c>
      <c r="C227" s="27" t="s">
        <v>19</v>
      </c>
      <c r="D227" s="27" t="s">
        <v>14</v>
      </c>
      <c r="E227" s="27" t="s">
        <v>332</v>
      </c>
      <c r="F227" s="30" t="s">
        <v>69</v>
      </c>
      <c r="G227" s="28">
        <f>845.2+230</f>
        <v>1075.2</v>
      </c>
      <c r="H227" s="28">
        <f>845.2+230+42.8</f>
        <v>1118</v>
      </c>
      <c r="I227" s="28">
        <f>845.2+230+82.8</f>
        <v>1158</v>
      </c>
    </row>
    <row r="228" spans="1:14" s="29" customFormat="1" x14ac:dyDescent="0.2">
      <c r="A228" s="31" t="s">
        <v>73</v>
      </c>
      <c r="B228" s="35">
        <v>911</v>
      </c>
      <c r="C228" s="27" t="s">
        <v>19</v>
      </c>
      <c r="D228" s="27" t="s">
        <v>14</v>
      </c>
      <c r="E228" s="27" t="s">
        <v>332</v>
      </c>
      <c r="F228" s="27" t="s">
        <v>74</v>
      </c>
      <c r="G228" s="28">
        <f>39</f>
        <v>39</v>
      </c>
      <c r="H228" s="28">
        <f>39</f>
        <v>39</v>
      </c>
      <c r="I228" s="28">
        <f>39</f>
        <v>39</v>
      </c>
    </row>
    <row r="229" spans="1:14" ht="25.5" x14ac:dyDescent="0.2">
      <c r="A229" s="18" t="s">
        <v>330</v>
      </c>
      <c r="B229" s="18">
        <v>911</v>
      </c>
      <c r="C229" s="19" t="s">
        <v>19</v>
      </c>
      <c r="D229" s="19" t="s">
        <v>14</v>
      </c>
      <c r="E229" s="19" t="s">
        <v>461</v>
      </c>
      <c r="F229" s="19"/>
      <c r="G229" s="20">
        <f>G231+G230</f>
        <v>317</v>
      </c>
      <c r="H229" s="20">
        <f>H231+H230</f>
        <v>317</v>
      </c>
      <c r="I229" s="20">
        <f>I231+I230</f>
        <v>317</v>
      </c>
    </row>
    <row r="230" spans="1:14" x14ac:dyDescent="0.2">
      <c r="A230" s="31" t="s">
        <v>70</v>
      </c>
      <c r="B230" s="31">
        <v>911</v>
      </c>
      <c r="C230" s="27" t="s">
        <v>19</v>
      </c>
      <c r="D230" s="27" t="s">
        <v>14</v>
      </c>
      <c r="E230" s="19" t="s">
        <v>461</v>
      </c>
      <c r="F230" s="27" t="s">
        <v>71</v>
      </c>
      <c r="G230" s="28">
        <v>6</v>
      </c>
      <c r="H230" s="28">
        <v>6</v>
      </c>
      <c r="I230" s="28">
        <v>6</v>
      </c>
    </row>
    <row r="231" spans="1:14" ht="25.5" x14ac:dyDescent="0.2">
      <c r="A231" s="31" t="s">
        <v>169</v>
      </c>
      <c r="B231" s="31">
        <v>911</v>
      </c>
      <c r="C231" s="27" t="s">
        <v>19</v>
      </c>
      <c r="D231" s="27" t="s">
        <v>14</v>
      </c>
      <c r="E231" s="19" t="s">
        <v>461</v>
      </c>
      <c r="F231" s="27" t="s">
        <v>66</v>
      </c>
      <c r="G231" s="28">
        <v>311</v>
      </c>
      <c r="H231" s="28">
        <v>311</v>
      </c>
      <c r="I231" s="28">
        <v>311</v>
      </c>
    </row>
    <row r="232" spans="1:14" s="9" customFormat="1" x14ac:dyDescent="0.2">
      <c r="A232" s="11" t="s">
        <v>463</v>
      </c>
      <c r="B232" s="14">
        <v>911</v>
      </c>
      <c r="C232" s="8" t="s">
        <v>19</v>
      </c>
      <c r="D232" s="8" t="s">
        <v>16</v>
      </c>
      <c r="E232" s="8"/>
      <c r="F232" s="8"/>
      <c r="G232" s="4">
        <f>G233</f>
        <v>89904.6</v>
      </c>
      <c r="H232" s="4">
        <f t="shared" ref="H232:I232" si="38">H233</f>
        <v>86964.6</v>
      </c>
      <c r="I232" s="4">
        <f t="shared" si="38"/>
        <v>90004.6</v>
      </c>
    </row>
    <row r="233" spans="1:14" ht="63.75" x14ac:dyDescent="0.2">
      <c r="A233" s="18" t="s">
        <v>325</v>
      </c>
      <c r="B233" s="22">
        <v>911</v>
      </c>
      <c r="C233" s="19" t="s">
        <v>19</v>
      </c>
      <c r="D233" s="19" t="s">
        <v>16</v>
      </c>
      <c r="E233" s="19" t="s">
        <v>324</v>
      </c>
      <c r="F233" s="19"/>
      <c r="G233" s="20">
        <f>G234</f>
        <v>89904.6</v>
      </c>
      <c r="H233" s="20">
        <f>H234</f>
        <v>86964.6</v>
      </c>
      <c r="I233" s="20">
        <f>I234</f>
        <v>90004.6</v>
      </c>
    </row>
    <row r="234" spans="1:14" s="29" customFormat="1" ht="25.5" x14ac:dyDescent="0.2">
      <c r="A234" s="31" t="s">
        <v>169</v>
      </c>
      <c r="B234" s="35">
        <v>911</v>
      </c>
      <c r="C234" s="27" t="s">
        <v>19</v>
      </c>
      <c r="D234" s="27" t="s">
        <v>16</v>
      </c>
      <c r="E234" s="27" t="s">
        <v>324</v>
      </c>
      <c r="F234" s="27" t="s">
        <v>66</v>
      </c>
      <c r="G234" s="28">
        <f>89904.6</f>
        <v>89904.6</v>
      </c>
      <c r="H234" s="28">
        <v>86964.6</v>
      </c>
      <c r="I234" s="28">
        <v>90004.6</v>
      </c>
      <c r="J234" s="21"/>
      <c r="K234" s="21"/>
      <c r="L234" s="21"/>
      <c r="M234" s="21"/>
      <c r="N234" s="21"/>
    </row>
    <row r="235" spans="1:14" s="9" customFormat="1" x14ac:dyDescent="0.2">
      <c r="A235" s="11" t="s">
        <v>41</v>
      </c>
      <c r="B235" s="14">
        <v>911</v>
      </c>
      <c r="C235" s="8" t="s">
        <v>19</v>
      </c>
      <c r="D235" s="8" t="s">
        <v>26</v>
      </c>
      <c r="E235" s="8"/>
      <c r="F235" s="8"/>
      <c r="G235" s="4">
        <f>G238+G240+G243+G247+G250+G252+G255+G258+G260+G236</f>
        <v>50854.400000000001</v>
      </c>
      <c r="H235" s="4">
        <f t="shared" ref="H235:I235" si="39">H238+H240+H243+H247+H250+H252+H255+H258+H260+H236</f>
        <v>55154.400000000001</v>
      </c>
      <c r="I235" s="4">
        <f t="shared" si="39"/>
        <v>50154.400000000001</v>
      </c>
    </row>
    <row r="236" spans="1:14" x14ac:dyDescent="0.2">
      <c r="A236" s="18" t="s">
        <v>244</v>
      </c>
      <c r="B236" s="22">
        <v>911</v>
      </c>
      <c r="C236" s="19" t="s">
        <v>19</v>
      </c>
      <c r="D236" s="19" t="s">
        <v>26</v>
      </c>
      <c r="E236" s="27" t="s">
        <v>241</v>
      </c>
      <c r="F236" s="19"/>
      <c r="G236" s="20">
        <f>G237</f>
        <v>0</v>
      </c>
      <c r="H236" s="20">
        <f>H237</f>
        <v>5000</v>
      </c>
      <c r="I236" s="20">
        <f>I237</f>
        <v>0</v>
      </c>
    </row>
    <row r="237" spans="1:14" s="29" customFormat="1" ht="25.5" x14ac:dyDescent="0.2">
      <c r="A237" s="31" t="s">
        <v>84</v>
      </c>
      <c r="B237" s="22">
        <v>911</v>
      </c>
      <c r="C237" s="19" t="s">
        <v>19</v>
      </c>
      <c r="D237" s="19" t="s">
        <v>26</v>
      </c>
      <c r="E237" s="27" t="s">
        <v>241</v>
      </c>
      <c r="F237" s="27" t="s">
        <v>72</v>
      </c>
      <c r="G237" s="28">
        <v>0</v>
      </c>
      <c r="H237" s="28">
        <v>5000</v>
      </c>
      <c r="I237" s="28">
        <v>0</v>
      </c>
    </row>
    <row r="238" spans="1:14" ht="63.75" x14ac:dyDescent="0.2">
      <c r="A238" s="18" t="s">
        <v>334</v>
      </c>
      <c r="B238" s="22">
        <v>911</v>
      </c>
      <c r="C238" s="19" t="s">
        <v>19</v>
      </c>
      <c r="D238" s="19" t="s">
        <v>26</v>
      </c>
      <c r="E238" s="19" t="s">
        <v>333</v>
      </c>
      <c r="F238" s="19"/>
      <c r="G238" s="20">
        <f>G239</f>
        <v>3360</v>
      </c>
      <c r="H238" s="20">
        <f>H239</f>
        <v>3360</v>
      </c>
      <c r="I238" s="20">
        <f>I239</f>
        <v>3360</v>
      </c>
    </row>
    <row r="239" spans="1:14" s="29" customFormat="1" ht="25.5" x14ac:dyDescent="0.2">
      <c r="A239" s="31" t="s">
        <v>169</v>
      </c>
      <c r="B239" s="35">
        <v>911</v>
      </c>
      <c r="C239" s="27" t="s">
        <v>19</v>
      </c>
      <c r="D239" s="27" t="s">
        <v>26</v>
      </c>
      <c r="E239" s="27" t="s">
        <v>333</v>
      </c>
      <c r="F239" s="27" t="s">
        <v>66</v>
      </c>
      <c r="G239" s="28">
        <v>3360</v>
      </c>
      <c r="H239" s="28">
        <v>3360</v>
      </c>
      <c r="I239" s="28">
        <v>3360</v>
      </c>
    </row>
    <row r="240" spans="1:14" ht="38.25" x14ac:dyDescent="0.2">
      <c r="A240" s="18" t="s">
        <v>336</v>
      </c>
      <c r="B240" s="22">
        <v>911</v>
      </c>
      <c r="C240" s="19" t="s">
        <v>19</v>
      </c>
      <c r="D240" s="19" t="s">
        <v>26</v>
      </c>
      <c r="E240" s="19" t="s">
        <v>335</v>
      </c>
      <c r="F240" s="19"/>
      <c r="G240" s="20">
        <f>G241+G242</f>
        <v>270.5</v>
      </c>
      <c r="H240" s="20">
        <f>H241+H242</f>
        <v>270.5</v>
      </c>
      <c r="I240" s="20">
        <f>I241+I242</f>
        <v>270.5</v>
      </c>
    </row>
    <row r="241" spans="1:14" s="29" customFormat="1" ht="25.5" x14ac:dyDescent="0.2">
      <c r="A241" s="31" t="s">
        <v>77</v>
      </c>
      <c r="B241" s="35">
        <v>911</v>
      </c>
      <c r="C241" s="27" t="s">
        <v>19</v>
      </c>
      <c r="D241" s="27" t="s">
        <v>26</v>
      </c>
      <c r="E241" s="27" t="s">
        <v>335</v>
      </c>
      <c r="F241" s="27" t="s">
        <v>69</v>
      </c>
      <c r="G241" s="28">
        <v>76.599999999999994</v>
      </c>
      <c r="H241" s="28">
        <v>76.599999999999994</v>
      </c>
      <c r="I241" s="28">
        <v>76.599999999999994</v>
      </c>
    </row>
    <row r="242" spans="1:14" s="29" customFormat="1" ht="25.5" x14ac:dyDescent="0.2">
      <c r="A242" s="31" t="s">
        <v>169</v>
      </c>
      <c r="B242" s="35">
        <v>911</v>
      </c>
      <c r="C242" s="27" t="s">
        <v>19</v>
      </c>
      <c r="D242" s="27" t="s">
        <v>26</v>
      </c>
      <c r="E242" s="27" t="s">
        <v>335</v>
      </c>
      <c r="F242" s="27" t="s">
        <v>66</v>
      </c>
      <c r="G242" s="28">
        <v>193.9</v>
      </c>
      <c r="H242" s="28">
        <v>193.9</v>
      </c>
      <c r="I242" s="28">
        <v>193.9</v>
      </c>
    </row>
    <row r="243" spans="1:14" ht="25.5" x14ac:dyDescent="0.2">
      <c r="A243" s="18" t="s">
        <v>269</v>
      </c>
      <c r="B243" s="22">
        <v>911</v>
      </c>
      <c r="C243" s="19" t="s">
        <v>19</v>
      </c>
      <c r="D243" s="19" t="s">
        <v>26</v>
      </c>
      <c r="E243" s="19" t="s">
        <v>270</v>
      </c>
      <c r="F243" s="19"/>
      <c r="G243" s="20">
        <f>G246+G245+G244</f>
        <v>1556.8</v>
      </c>
      <c r="H243" s="20">
        <f t="shared" ref="H243:I243" si="40">H246+H245+H244</f>
        <v>1556.8</v>
      </c>
      <c r="I243" s="20">
        <f t="shared" si="40"/>
        <v>1556.8</v>
      </c>
    </row>
    <row r="244" spans="1:14" s="29" customFormat="1" ht="25.5" x14ac:dyDescent="0.2">
      <c r="A244" s="31" t="s">
        <v>77</v>
      </c>
      <c r="B244" s="35">
        <v>911</v>
      </c>
      <c r="C244" s="27" t="s">
        <v>19</v>
      </c>
      <c r="D244" s="27" t="s">
        <v>26</v>
      </c>
      <c r="E244" s="27" t="s">
        <v>270</v>
      </c>
      <c r="F244" s="27" t="s">
        <v>69</v>
      </c>
      <c r="G244" s="28">
        <v>2</v>
      </c>
      <c r="H244" s="28">
        <v>2</v>
      </c>
      <c r="I244" s="28">
        <v>2</v>
      </c>
    </row>
    <row r="245" spans="1:14" s="29" customFormat="1" x14ac:dyDescent="0.2">
      <c r="A245" s="31" t="s">
        <v>70</v>
      </c>
      <c r="B245" s="35">
        <v>911</v>
      </c>
      <c r="C245" s="27" t="s">
        <v>19</v>
      </c>
      <c r="D245" s="27" t="s">
        <v>26</v>
      </c>
      <c r="E245" s="27" t="s">
        <v>270</v>
      </c>
      <c r="F245" s="27" t="s">
        <v>71</v>
      </c>
      <c r="G245" s="28">
        <v>1177.8</v>
      </c>
      <c r="H245" s="28">
        <v>1177.8</v>
      </c>
      <c r="I245" s="28">
        <v>1177.8</v>
      </c>
    </row>
    <row r="246" spans="1:14" s="29" customFormat="1" ht="25.5" x14ac:dyDescent="0.2">
      <c r="A246" s="31" t="s">
        <v>169</v>
      </c>
      <c r="B246" s="35">
        <v>911</v>
      </c>
      <c r="C246" s="27" t="s">
        <v>19</v>
      </c>
      <c r="D246" s="27" t="s">
        <v>26</v>
      </c>
      <c r="E246" s="27" t="s">
        <v>270</v>
      </c>
      <c r="F246" s="27" t="s">
        <v>66</v>
      </c>
      <c r="G246" s="28">
        <v>377</v>
      </c>
      <c r="H246" s="28">
        <v>377</v>
      </c>
      <c r="I246" s="28">
        <v>377</v>
      </c>
    </row>
    <row r="247" spans="1:14" ht="51" x14ac:dyDescent="0.2">
      <c r="A247" s="18" t="s">
        <v>338</v>
      </c>
      <c r="B247" s="22">
        <v>911</v>
      </c>
      <c r="C247" s="19" t="s">
        <v>19</v>
      </c>
      <c r="D247" s="19" t="s">
        <v>26</v>
      </c>
      <c r="E247" s="19" t="s">
        <v>337</v>
      </c>
      <c r="F247" s="19"/>
      <c r="G247" s="20">
        <f>G248+G249</f>
        <v>448</v>
      </c>
      <c r="H247" s="20">
        <f>H248+H249</f>
        <v>448</v>
      </c>
      <c r="I247" s="20">
        <f>I248+I249</f>
        <v>448</v>
      </c>
    </row>
    <row r="248" spans="1:14" s="29" customFormat="1" ht="63.75" x14ac:dyDescent="0.2">
      <c r="A248" s="34" t="s">
        <v>67</v>
      </c>
      <c r="B248" s="36">
        <v>911</v>
      </c>
      <c r="C248" s="27" t="s">
        <v>19</v>
      </c>
      <c r="D248" s="27" t="s">
        <v>26</v>
      </c>
      <c r="E248" s="27" t="s">
        <v>337</v>
      </c>
      <c r="F248" s="30" t="s">
        <v>68</v>
      </c>
      <c r="G248" s="28">
        <v>26.2</v>
      </c>
      <c r="H248" s="28">
        <v>26.2</v>
      </c>
      <c r="I248" s="28">
        <v>26.2</v>
      </c>
    </row>
    <row r="249" spans="1:14" s="29" customFormat="1" ht="25.5" x14ac:dyDescent="0.2">
      <c r="A249" s="31" t="s">
        <v>169</v>
      </c>
      <c r="B249" s="35">
        <v>911</v>
      </c>
      <c r="C249" s="27" t="s">
        <v>19</v>
      </c>
      <c r="D249" s="27" t="s">
        <v>26</v>
      </c>
      <c r="E249" s="27" t="s">
        <v>337</v>
      </c>
      <c r="F249" s="27" t="s">
        <v>66</v>
      </c>
      <c r="G249" s="28">
        <v>421.8</v>
      </c>
      <c r="H249" s="28">
        <v>421.8</v>
      </c>
      <c r="I249" s="28">
        <v>421.8</v>
      </c>
    </row>
    <row r="250" spans="1:14" ht="25.5" x14ac:dyDescent="0.2">
      <c r="A250" s="18" t="s">
        <v>340</v>
      </c>
      <c r="B250" s="22">
        <v>911</v>
      </c>
      <c r="C250" s="19" t="s">
        <v>19</v>
      </c>
      <c r="D250" s="19" t="s">
        <v>26</v>
      </c>
      <c r="E250" s="19" t="s">
        <v>339</v>
      </c>
      <c r="F250" s="19"/>
      <c r="G250" s="20">
        <f>G251</f>
        <v>785.2</v>
      </c>
      <c r="H250" s="20">
        <f>H251</f>
        <v>785.2</v>
      </c>
      <c r="I250" s="20">
        <f>I251</f>
        <v>785.2</v>
      </c>
    </row>
    <row r="251" spans="1:14" s="29" customFormat="1" ht="25.5" x14ac:dyDescent="0.2">
      <c r="A251" s="31" t="s">
        <v>169</v>
      </c>
      <c r="B251" s="35">
        <v>911</v>
      </c>
      <c r="C251" s="27" t="s">
        <v>19</v>
      </c>
      <c r="D251" s="27" t="s">
        <v>26</v>
      </c>
      <c r="E251" s="27" t="s">
        <v>339</v>
      </c>
      <c r="F251" s="27" t="s">
        <v>66</v>
      </c>
      <c r="G251" s="28">
        <v>785.2</v>
      </c>
      <c r="H251" s="28">
        <v>785.2</v>
      </c>
      <c r="I251" s="28">
        <v>785.2</v>
      </c>
    </row>
    <row r="252" spans="1:14" ht="25.5" x14ac:dyDescent="0.2">
      <c r="A252" s="18" t="s">
        <v>341</v>
      </c>
      <c r="B252" s="22">
        <v>911</v>
      </c>
      <c r="C252" s="5" t="s">
        <v>19</v>
      </c>
      <c r="D252" s="5" t="s">
        <v>26</v>
      </c>
      <c r="E252" s="5" t="s">
        <v>136</v>
      </c>
      <c r="F252" s="19"/>
      <c r="G252" s="20">
        <f>G253+G254</f>
        <v>2419</v>
      </c>
      <c r="H252" s="20">
        <f>H253+H254</f>
        <v>2419</v>
      </c>
      <c r="I252" s="20">
        <f>I253+I254</f>
        <v>2419</v>
      </c>
    </row>
    <row r="253" spans="1:14" s="29" customFormat="1" ht="63.75" x14ac:dyDescent="0.2">
      <c r="A253" s="26" t="s">
        <v>67</v>
      </c>
      <c r="B253" s="35">
        <v>911</v>
      </c>
      <c r="C253" s="27" t="s">
        <v>19</v>
      </c>
      <c r="D253" s="27" t="s">
        <v>26</v>
      </c>
      <c r="E253" s="27" t="s">
        <v>136</v>
      </c>
      <c r="F253" s="30" t="s">
        <v>68</v>
      </c>
      <c r="G253" s="28">
        <f>1464.5+442.3+2</f>
        <v>1908.8</v>
      </c>
      <c r="H253" s="28">
        <f>1464.5+442.3+2</f>
        <v>1908.8</v>
      </c>
      <c r="I253" s="28">
        <f>1464.5+442.3+2</f>
        <v>1908.8</v>
      </c>
      <c r="J253" s="21"/>
      <c r="K253" s="21"/>
      <c r="L253" s="21"/>
      <c r="M253" s="21"/>
      <c r="N253" s="21"/>
    </row>
    <row r="254" spans="1:14" s="29" customFormat="1" ht="25.5" x14ac:dyDescent="0.2">
      <c r="A254" s="31" t="s">
        <v>77</v>
      </c>
      <c r="B254" s="55">
        <v>911</v>
      </c>
      <c r="C254" s="27" t="s">
        <v>19</v>
      </c>
      <c r="D254" s="27" t="s">
        <v>26</v>
      </c>
      <c r="E254" s="27" t="s">
        <v>136</v>
      </c>
      <c r="F254" s="30" t="s">
        <v>69</v>
      </c>
      <c r="G254" s="28">
        <f>510.2</f>
        <v>510.2</v>
      </c>
      <c r="H254" s="28">
        <f>510.2</f>
        <v>510.2</v>
      </c>
      <c r="I254" s="28">
        <f>510.2</f>
        <v>510.2</v>
      </c>
      <c r="J254" s="21"/>
      <c r="K254" s="21"/>
      <c r="L254" s="21"/>
      <c r="M254" s="21"/>
      <c r="N254" s="21"/>
    </row>
    <row r="255" spans="1:14" ht="38.25" x14ac:dyDescent="0.2">
      <c r="A255" s="18" t="s">
        <v>342</v>
      </c>
      <c r="B255" s="22">
        <v>911</v>
      </c>
      <c r="C255" s="19" t="s">
        <v>19</v>
      </c>
      <c r="D255" s="19" t="s">
        <v>26</v>
      </c>
      <c r="E255" s="19" t="s">
        <v>343</v>
      </c>
      <c r="F255" s="19"/>
      <c r="G255" s="20">
        <f>G256+G257</f>
        <v>2406.1</v>
      </c>
      <c r="H255" s="20">
        <f>H256+H257</f>
        <v>2406.1</v>
      </c>
      <c r="I255" s="20">
        <f>I256+I257</f>
        <v>2406.1</v>
      </c>
    </row>
    <row r="256" spans="1:14" s="29" customFormat="1" ht="63.75" x14ac:dyDescent="0.2">
      <c r="A256" s="26" t="s">
        <v>67</v>
      </c>
      <c r="B256" s="35">
        <v>911</v>
      </c>
      <c r="C256" s="27" t="s">
        <v>19</v>
      </c>
      <c r="D256" s="27" t="s">
        <v>26</v>
      </c>
      <c r="E256" s="27" t="s">
        <v>343</v>
      </c>
      <c r="F256" s="30" t="s">
        <v>68</v>
      </c>
      <c r="G256" s="28">
        <v>2350.1</v>
      </c>
      <c r="H256" s="28">
        <v>2350.1</v>
      </c>
      <c r="I256" s="28">
        <v>2350.1</v>
      </c>
      <c r="J256" s="21"/>
      <c r="K256" s="21"/>
      <c r="L256" s="21"/>
      <c r="M256" s="21"/>
      <c r="N256" s="21"/>
    </row>
    <row r="257" spans="1:14" s="29" customFormat="1" ht="25.5" x14ac:dyDescent="0.2">
      <c r="A257" s="31" t="s">
        <v>77</v>
      </c>
      <c r="B257" s="35">
        <v>911</v>
      </c>
      <c r="C257" s="27" t="s">
        <v>19</v>
      </c>
      <c r="D257" s="27" t="s">
        <v>26</v>
      </c>
      <c r="E257" s="27" t="s">
        <v>343</v>
      </c>
      <c r="F257" s="30" t="s">
        <v>69</v>
      </c>
      <c r="G257" s="28">
        <v>56</v>
      </c>
      <c r="H257" s="28">
        <v>56</v>
      </c>
      <c r="I257" s="28">
        <v>56</v>
      </c>
      <c r="J257" s="21"/>
      <c r="K257" s="21"/>
      <c r="L257" s="21"/>
      <c r="M257" s="21"/>
      <c r="N257" s="21"/>
    </row>
    <row r="258" spans="1:14" ht="38.25" x14ac:dyDescent="0.2">
      <c r="A258" s="18" t="s">
        <v>344</v>
      </c>
      <c r="B258" s="22">
        <v>911</v>
      </c>
      <c r="C258" s="19" t="s">
        <v>19</v>
      </c>
      <c r="D258" s="19" t="s">
        <v>26</v>
      </c>
      <c r="E258" s="19" t="s">
        <v>345</v>
      </c>
      <c r="F258" s="19"/>
      <c r="G258" s="20">
        <f>G259</f>
        <v>11926.3</v>
      </c>
      <c r="H258" s="20">
        <f>H259</f>
        <v>11926.3</v>
      </c>
      <c r="I258" s="20">
        <f>I259</f>
        <v>11926.3</v>
      </c>
    </row>
    <row r="259" spans="1:14" s="29" customFormat="1" ht="25.5" x14ac:dyDescent="0.2">
      <c r="A259" s="31" t="s">
        <v>169</v>
      </c>
      <c r="B259" s="35">
        <v>911</v>
      </c>
      <c r="C259" s="27" t="s">
        <v>19</v>
      </c>
      <c r="D259" s="27" t="s">
        <v>26</v>
      </c>
      <c r="E259" s="27" t="s">
        <v>345</v>
      </c>
      <c r="F259" s="27" t="s">
        <v>66</v>
      </c>
      <c r="G259" s="28">
        <v>11926.3</v>
      </c>
      <c r="H259" s="28">
        <v>11926.3</v>
      </c>
      <c r="I259" s="28">
        <v>11926.3</v>
      </c>
      <c r="J259" s="21"/>
      <c r="K259" s="21"/>
      <c r="L259" s="21"/>
      <c r="M259" s="21"/>
      <c r="N259" s="21"/>
    </row>
    <row r="260" spans="1:14" ht="38.25" x14ac:dyDescent="0.2">
      <c r="A260" s="18" t="s">
        <v>347</v>
      </c>
      <c r="B260" s="22">
        <v>911</v>
      </c>
      <c r="C260" s="19" t="s">
        <v>19</v>
      </c>
      <c r="D260" s="19" t="s">
        <v>26</v>
      </c>
      <c r="E260" s="19" t="s">
        <v>346</v>
      </c>
      <c r="F260" s="19"/>
      <c r="G260" s="20">
        <f>G261+G262+G263+G264</f>
        <v>27682.5</v>
      </c>
      <c r="H260" s="20">
        <f>H261+H262+H263+H264</f>
        <v>26982.5</v>
      </c>
      <c r="I260" s="20">
        <f>I261+I262+I263+I264</f>
        <v>26982.5</v>
      </c>
    </row>
    <row r="261" spans="1:14" s="29" customFormat="1" ht="63.75" x14ac:dyDescent="0.2">
      <c r="A261" s="34" t="s">
        <v>67</v>
      </c>
      <c r="B261" s="36">
        <v>911</v>
      </c>
      <c r="C261" s="27" t="s">
        <v>19</v>
      </c>
      <c r="D261" s="27" t="s">
        <v>26</v>
      </c>
      <c r="E261" s="27" t="s">
        <v>346</v>
      </c>
      <c r="F261" s="30" t="s">
        <v>68</v>
      </c>
      <c r="G261" s="28">
        <v>3908.7</v>
      </c>
      <c r="H261" s="28">
        <v>3908.7</v>
      </c>
      <c r="I261" s="28">
        <v>3908.7</v>
      </c>
    </row>
    <row r="262" spans="1:14" s="29" customFormat="1" ht="25.5" x14ac:dyDescent="0.2">
      <c r="A262" s="31" t="s">
        <v>77</v>
      </c>
      <c r="B262" s="36">
        <v>911</v>
      </c>
      <c r="C262" s="27" t="s">
        <v>19</v>
      </c>
      <c r="D262" s="27" t="s">
        <v>26</v>
      </c>
      <c r="E262" s="27" t="s">
        <v>346</v>
      </c>
      <c r="F262" s="30" t="s">
        <v>69</v>
      </c>
      <c r="G262" s="28">
        <v>387</v>
      </c>
      <c r="H262" s="28">
        <v>387</v>
      </c>
      <c r="I262" s="28">
        <v>387</v>
      </c>
    </row>
    <row r="263" spans="1:14" s="29" customFormat="1" ht="25.5" x14ac:dyDescent="0.2">
      <c r="A263" s="31" t="s">
        <v>169</v>
      </c>
      <c r="B263" s="35">
        <v>911</v>
      </c>
      <c r="C263" s="27" t="s">
        <v>19</v>
      </c>
      <c r="D263" s="27" t="s">
        <v>26</v>
      </c>
      <c r="E263" s="27" t="s">
        <v>346</v>
      </c>
      <c r="F263" s="27" t="s">
        <v>66</v>
      </c>
      <c r="G263" s="28">
        <v>23136.799999999999</v>
      </c>
      <c r="H263" s="28">
        <v>22436.799999999999</v>
      </c>
      <c r="I263" s="28">
        <v>22436.799999999999</v>
      </c>
      <c r="J263" s="21"/>
      <c r="K263" s="21"/>
      <c r="L263" s="21"/>
      <c r="M263" s="21"/>
      <c r="N263" s="21"/>
    </row>
    <row r="264" spans="1:14" s="29" customFormat="1" x14ac:dyDescent="0.2">
      <c r="A264" s="31" t="s">
        <v>73</v>
      </c>
      <c r="B264" s="35">
        <v>911</v>
      </c>
      <c r="C264" s="27" t="s">
        <v>19</v>
      </c>
      <c r="D264" s="27" t="s">
        <v>26</v>
      </c>
      <c r="E264" s="27" t="s">
        <v>346</v>
      </c>
      <c r="F264" s="27" t="s">
        <v>74</v>
      </c>
      <c r="G264" s="28">
        <v>250</v>
      </c>
      <c r="H264" s="28">
        <v>250</v>
      </c>
      <c r="I264" s="28">
        <v>250</v>
      </c>
      <c r="J264" s="21"/>
      <c r="K264" s="21"/>
      <c r="L264" s="21"/>
      <c r="M264" s="21"/>
      <c r="N264" s="21"/>
    </row>
    <row r="265" spans="1:14" s="3" customFormat="1" x14ac:dyDescent="0.2">
      <c r="A265" s="13" t="s">
        <v>53</v>
      </c>
      <c r="B265" s="50">
        <v>911</v>
      </c>
      <c r="C265" s="1" t="s">
        <v>52</v>
      </c>
      <c r="D265" s="1"/>
      <c r="E265" s="1"/>
      <c r="F265" s="1"/>
      <c r="G265" s="2">
        <f>G266+G283</f>
        <v>55998</v>
      </c>
      <c r="H265" s="2">
        <f>H266+H283</f>
        <v>55998</v>
      </c>
      <c r="I265" s="2">
        <f>I266+I283</f>
        <v>55998</v>
      </c>
    </row>
    <row r="266" spans="1:14" s="9" customFormat="1" x14ac:dyDescent="0.2">
      <c r="A266" s="11" t="s">
        <v>56</v>
      </c>
      <c r="B266" s="14">
        <v>911</v>
      </c>
      <c r="C266" s="8" t="s">
        <v>52</v>
      </c>
      <c r="D266" s="8" t="s">
        <v>16</v>
      </c>
      <c r="E266" s="8"/>
      <c r="F266" s="8"/>
      <c r="G266" s="4">
        <f>G267+G272+G274+G270+G279+G281+G276</f>
        <v>9820.9</v>
      </c>
      <c r="H266" s="4">
        <f t="shared" ref="H266:I266" si="41">H267+H272+H274+H270+H279+H281+H276</f>
        <v>9820.9</v>
      </c>
      <c r="I266" s="4">
        <f t="shared" si="41"/>
        <v>9820.9</v>
      </c>
    </row>
    <row r="267" spans="1:14" ht="38.25" x14ac:dyDescent="0.2">
      <c r="A267" s="18" t="s">
        <v>348</v>
      </c>
      <c r="B267" s="22">
        <v>911</v>
      </c>
      <c r="C267" s="19" t="s">
        <v>52</v>
      </c>
      <c r="D267" s="19" t="s">
        <v>16</v>
      </c>
      <c r="E267" s="19" t="s">
        <v>88</v>
      </c>
      <c r="F267" s="19"/>
      <c r="G267" s="20">
        <f>G269+G268</f>
        <v>881</v>
      </c>
      <c r="H267" s="20">
        <f t="shared" ref="H267:I267" si="42">H269+H268</f>
        <v>881</v>
      </c>
      <c r="I267" s="20">
        <f t="shared" si="42"/>
        <v>881</v>
      </c>
    </row>
    <row r="268" spans="1:14" x14ac:dyDescent="0.2">
      <c r="A268" s="29" t="s">
        <v>70</v>
      </c>
      <c r="B268" s="26">
        <v>911</v>
      </c>
      <c r="C268" s="27" t="s">
        <v>52</v>
      </c>
      <c r="D268" s="27" t="s">
        <v>16</v>
      </c>
      <c r="E268" s="27" t="s">
        <v>88</v>
      </c>
      <c r="F268" s="30" t="s">
        <v>71</v>
      </c>
      <c r="G268" s="28">
        <f>35.6</f>
        <v>35.6</v>
      </c>
      <c r="H268" s="28">
        <f>35.6</f>
        <v>35.6</v>
      </c>
      <c r="I268" s="28">
        <f>35.6</f>
        <v>35.6</v>
      </c>
    </row>
    <row r="269" spans="1:14" s="29" customFormat="1" ht="25.5" x14ac:dyDescent="0.2">
      <c r="A269" s="31" t="s">
        <v>169</v>
      </c>
      <c r="B269" s="35">
        <v>911</v>
      </c>
      <c r="C269" s="27" t="s">
        <v>52</v>
      </c>
      <c r="D269" s="27" t="s">
        <v>16</v>
      </c>
      <c r="E269" s="27" t="s">
        <v>88</v>
      </c>
      <c r="F269" s="27" t="s">
        <v>66</v>
      </c>
      <c r="G269" s="28">
        <f>783.4+62</f>
        <v>845.4</v>
      </c>
      <c r="H269" s="28">
        <f>783.4+62</f>
        <v>845.4</v>
      </c>
      <c r="I269" s="28">
        <f>783.4+62</f>
        <v>845.4</v>
      </c>
      <c r="J269" s="21"/>
      <c r="K269" s="21"/>
      <c r="L269" s="21"/>
      <c r="M269" s="21"/>
      <c r="N269" s="21"/>
    </row>
    <row r="270" spans="1:14" ht="51" x14ac:dyDescent="0.2">
      <c r="A270" s="18" t="s">
        <v>349</v>
      </c>
      <c r="B270" s="22">
        <v>911</v>
      </c>
      <c r="C270" s="19" t="s">
        <v>52</v>
      </c>
      <c r="D270" s="19" t="s">
        <v>16</v>
      </c>
      <c r="E270" s="19" t="s">
        <v>140</v>
      </c>
      <c r="F270" s="19"/>
      <c r="G270" s="20">
        <f>G271</f>
        <v>207</v>
      </c>
      <c r="H270" s="20">
        <f>H271</f>
        <v>207</v>
      </c>
      <c r="I270" s="20">
        <f>I271</f>
        <v>207</v>
      </c>
    </row>
    <row r="271" spans="1:14" s="29" customFormat="1" x14ac:dyDescent="0.2">
      <c r="A271" s="29" t="s">
        <v>70</v>
      </c>
      <c r="B271" s="35">
        <v>911</v>
      </c>
      <c r="C271" s="27" t="s">
        <v>52</v>
      </c>
      <c r="D271" s="27" t="s">
        <v>16</v>
      </c>
      <c r="E271" s="27" t="s">
        <v>140</v>
      </c>
      <c r="F271" s="33">
        <v>300</v>
      </c>
      <c r="G271" s="28">
        <f>207</f>
        <v>207</v>
      </c>
      <c r="H271" s="28">
        <f>207</f>
        <v>207</v>
      </c>
      <c r="I271" s="28">
        <f>207</f>
        <v>207</v>
      </c>
      <c r="J271" s="21"/>
      <c r="K271" s="21"/>
      <c r="L271" s="21"/>
      <c r="M271" s="21"/>
      <c r="N271" s="21"/>
    </row>
    <row r="272" spans="1:14" ht="63.75" x14ac:dyDescent="0.2">
      <c r="A272" s="18" t="s">
        <v>350</v>
      </c>
      <c r="B272" s="22">
        <v>911</v>
      </c>
      <c r="C272" s="19" t="s">
        <v>52</v>
      </c>
      <c r="D272" s="19" t="s">
        <v>16</v>
      </c>
      <c r="E272" s="27" t="s">
        <v>139</v>
      </c>
      <c r="F272" s="19"/>
      <c r="G272" s="20">
        <f>G273</f>
        <v>387</v>
      </c>
      <c r="H272" s="20">
        <f>H273</f>
        <v>387</v>
      </c>
      <c r="I272" s="20">
        <f>I273</f>
        <v>387</v>
      </c>
    </row>
    <row r="273" spans="1:16" s="29" customFormat="1" x14ac:dyDescent="0.2">
      <c r="A273" s="29" t="s">
        <v>70</v>
      </c>
      <c r="B273" s="35">
        <v>911</v>
      </c>
      <c r="C273" s="27" t="s">
        <v>52</v>
      </c>
      <c r="D273" s="27" t="s">
        <v>16</v>
      </c>
      <c r="E273" s="27" t="s">
        <v>139</v>
      </c>
      <c r="F273" s="33">
        <v>300</v>
      </c>
      <c r="G273" s="28">
        <f>387</f>
        <v>387</v>
      </c>
      <c r="H273" s="28">
        <f>387</f>
        <v>387</v>
      </c>
      <c r="I273" s="28">
        <f>387</f>
        <v>387</v>
      </c>
      <c r="J273" s="21"/>
      <c r="K273" s="21"/>
      <c r="L273" s="21"/>
      <c r="M273" s="21"/>
      <c r="N273" s="21"/>
    </row>
    <row r="274" spans="1:16" ht="38.25" x14ac:dyDescent="0.2">
      <c r="A274" s="56" t="s">
        <v>351</v>
      </c>
      <c r="B274" s="22">
        <v>911</v>
      </c>
      <c r="C274" s="19" t="s">
        <v>52</v>
      </c>
      <c r="D274" s="19" t="s">
        <v>16</v>
      </c>
      <c r="E274" s="19" t="s">
        <v>138</v>
      </c>
      <c r="F274" s="19"/>
      <c r="G274" s="20">
        <f>G275</f>
        <v>570</v>
      </c>
      <c r="H274" s="20">
        <f>H275</f>
        <v>570</v>
      </c>
      <c r="I274" s="20">
        <f>I275</f>
        <v>570</v>
      </c>
      <c r="O274" s="29"/>
      <c r="P274" s="29"/>
    </row>
    <row r="275" spans="1:16" s="29" customFormat="1" x14ac:dyDescent="0.2">
      <c r="A275" s="29" t="s">
        <v>70</v>
      </c>
      <c r="B275" s="35">
        <v>911</v>
      </c>
      <c r="C275" s="27" t="s">
        <v>52</v>
      </c>
      <c r="D275" s="27" t="s">
        <v>16</v>
      </c>
      <c r="E275" s="27" t="s">
        <v>138</v>
      </c>
      <c r="F275" s="27" t="s">
        <v>71</v>
      </c>
      <c r="G275" s="28">
        <f>570</f>
        <v>570</v>
      </c>
      <c r="H275" s="28">
        <f>570</f>
        <v>570</v>
      </c>
      <c r="I275" s="28">
        <f>570</f>
        <v>570</v>
      </c>
      <c r="J275" s="21"/>
      <c r="K275" s="21"/>
      <c r="L275" s="21"/>
      <c r="M275" s="21"/>
      <c r="N275" s="21"/>
      <c r="O275" s="21"/>
      <c r="P275" s="21"/>
    </row>
    <row r="276" spans="1:16" ht="25.5" x14ac:dyDescent="0.2">
      <c r="A276" s="56" t="s">
        <v>352</v>
      </c>
      <c r="B276" s="73" t="s">
        <v>145</v>
      </c>
      <c r="C276" s="19" t="s">
        <v>52</v>
      </c>
      <c r="D276" s="19" t="s">
        <v>16</v>
      </c>
      <c r="E276" s="19" t="s">
        <v>146</v>
      </c>
      <c r="F276" s="19"/>
      <c r="G276" s="20">
        <f>G278+G277</f>
        <v>550.9</v>
      </c>
      <c r="H276" s="20">
        <f>H278+H277</f>
        <v>550.9</v>
      </c>
      <c r="I276" s="20">
        <f>I278+I277</f>
        <v>550.9</v>
      </c>
      <c r="O276" s="29"/>
      <c r="P276" s="29"/>
    </row>
    <row r="277" spans="1:16" ht="25.5" x14ac:dyDescent="0.2">
      <c r="A277" s="31" t="s">
        <v>77</v>
      </c>
      <c r="B277" s="26">
        <v>911</v>
      </c>
      <c r="C277" s="27" t="s">
        <v>52</v>
      </c>
      <c r="D277" s="27" t="s">
        <v>16</v>
      </c>
      <c r="E277" s="27" t="s">
        <v>146</v>
      </c>
      <c r="F277" s="30" t="s">
        <v>69</v>
      </c>
      <c r="G277" s="28">
        <f>159</f>
        <v>159</v>
      </c>
      <c r="H277" s="28">
        <f>159</f>
        <v>159</v>
      </c>
      <c r="I277" s="28">
        <f>159</f>
        <v>159</v>
      </c>
    </row>
    <row r="278" spans="1:16" ht="25.5" x14ac:dyDescent="0.2">
      <c r="A278" s="31" t="s">
        <v>169</v>
      </c>
      <c r="B278" s="31">
        <v>911</v>
      </c>
      <c r="C278" s="27" t="s">
        <v>52</v>
      </c>
      <c r="D278" s="27" t="s">
        <v>16</v>
      </c>
      <c r="E278" s="27" t="s">
        <v>146</v>
      </c>
      <c r="F278" s="27" t="s">
        <v>66</v>
      </c>
      <c r="G278" s="28">
        <f>371.5+20.4</f>
        <v>391.9</v>
      </c>
      <c r="H278" s="28">
        <f>371.5+20.4</f>
        <v>391.9</v>
      </c>
      <c r="I278" s="28">
        <f>371.5+20.4</f>
        <v>391.9</v>
      </c>
      <c r="J278" s="9"/>
      <c r="K278" s="9"/>
      <c r="L278" s="9"/>
      <c r="M278" s="9"/>
      <c r="N278" s="9"/>
      <c r="O278" s="9"/>
      <c r="P278" s="9"/>
    </row>
    <row r="279" spans="1:16" ht="76.5" x14ac:dyDescent="0.2">
      <c r="A279" s="18" t="s">
        <v>353</v>
      </c>
      <c r="B279" s="22">
        <v>911</v>
      </c>
      <c r="C279" s="19" t="s">
        <v>52</v>
      </c>
      <c r="D279" s="19" t="s">
        <v>16</v>
      </c>
      <c r="E279" s="19" t="s">
        <v>141</v>
      </c>
      <c r="F279" s="19"/>
      <c r="G279" s="20">
        <f>G280</f>
        <v>1000</v>
      </c>
      <c r="H279" s="20">
        <f>H280</f>
        <v>1000</v>
      </c>
      <c r="I279" s="20">
        <f>I280</f>
        <v>1000</v>
      </c>
    </row>
    <row r="280" spans="1:16" s="29" customFormat="1" x14ac:dyDescent="0.2">
      <c r="A280" s="31" t="s">
        <v>70</v>
      </c>
      <c r="B280" s="35">
        <v>911</v>
      </c>
      <c r="C280" s="27" t="s">
        <v>52</v>
      </c>
      <c r="D280" s="27" t="s">
        <v>16</v>
      </c>
      <c r="E280" s="27" t="s">
        <v>141</v>
      </c>
      <c r="F280" s="27" t="s">
        <v>71</v>
      </c>
      <c r="G280" s="28">
        <f>1000</f>
        <v>1000</v>
      </c>
      <c r="H280" s="28">
        <f>1000</f>
        <v>1000</v>
      </c>
      <c r="I280" s="28">
        <f>1000</f>
        <v>1000</v>
      </c>
      <c r="J280" s="21"/>
      <c r="K280" s="21"/>
      <c r="L280" s="21"/>
      <c r="M280" s="21"/>
      <c r="N280" s="21"/>
      <c r="O280" s="21"/>
      <c r="P280" s="21"/>
    </row>
    <row r="281" spans="1:16" ht="51" x14ac:dyDescent="0.2">
      <c r="A281" s="18" t="s">
        <v>354</v>
      </c>
      <c r="B281" s="22">
        <v>911</v>
      </c>
      <c r="C281" s="19" t="s">
        <v>52</v>
      </c>
      <c r="D281" s="19" t="s">
        <v>16</v>
      </c>
      <c r="E281" s="19" t="s">
        <v>122</v>
      </c>
      <c r="F281" s="19"/>
      <c r="G281" s="20">
        <f>G282</f>
        <v>6225</v>
      </c>
      <c r="H281" s="20">
        <f>H282</f>
        <v>6225</v>
      </c>
      <c r="I281" s="20">
        <f>I282</f>
        <v>6225</v>
      </c>
      <c r="O281" s="29"/>
      <c r="P281" s="29"/>
    </row>
    <row r="282" spans="1:16" s="29" customFormat="1" ht="25.5" x14ac:dyDescent="0.2">
      <c r="A282" s="31" t="s">
        <v>169</v>
      </c>
      <c r="B282" s="35">
        <v>911</v>
      </c>
      <c r="C282" s="27" t="s">
        <v>52</v>
      </c>
      <c r="D282" s="27" t="s">
        <v>16</v>
      </c>
      <c r="E282" s="27" t="s">
        <v>122</v>
      </c>
      <c r="F282" s="27" t="s">
        <v>66</v>
      </c>
      <c r="G282" s="28">
        <v>6225</v>
      </c>
      <c r="H282" s="28">
        <v>6225</v>
      </c>
      <c r="I282" s="28">
        <v>6225</v>
      </c>
      <c r="J282" s="21"/>
      <c r="K282" s="21"/>
      <c r="L282" s="21"/>
      <c r="M282" s="21"/>
      <c r="N282" s="21"/>
      <c r="O282" s="21"/>
      <c r="P282" s="21"/>
    </row>
    <row r="283" spans="1:16" s="9" customFormat="1" x14ac:dyDescent="0.2">
      <c r="A283" s="11" t="s">
        <v>57</v>
      </c>
      <c r="B283" s="14">
        <v>911</v>
      </c>
      <c r="C283" s="8" t="s">
        <v>52</v>
      </c>
      <c r="D283" s="8" t="s">
        <v>18</v>
      </c>
      <c r="E283" s="8"/>
      <c r="F283" s="8"/>
      <c r="G283" s="4">
        <f>G284+G286+G290</f>
        <v>46177.1</v>
      </c>
      <c r="H283" s="4">
        <f>H284+H286+H290</f>
        <v>46177.1</v>
      </c>
      <c r="I283" s="4">
        <f>I284+I286+I290</f>
        <v>46177.1</v>
      </c>
      <c r="J283" s="29"/>
      <c r="K283" s="29"/>
      <c r="L283" s="29"/>
      <c r="M283" s="29"/>
      <c r="N283" s="29"/>
      <c r="O283" s="29"/>
      <c r="P283" s="29"/>
    </row>
    <row r="284" spans="1:16" ht="38.25" x14ac:dyDescent="0.2">
      <c r="A284" s="18" t="s">
        <v>355</v>
      </c>
      <c r="B284" s="22">
        <v>911</v>
      </c>
      <c r="C284" s="19" t="s">
        <v>52</v>
      </c>
      <c r="D284" s="19" t="s">
        <v>18</v>
      </c>
      <c r="E284" s="19" t="s">
        <v>144</v>
      </c>
      <c r="F284" s="19"/>
      <c r="G284" s="20">
        <f>G285</f>
        <v>1791.1</v>
      </c>
      <c r="H284" s="20">
        <f t="shared" ref="H284:I284" si="43">H285</f>
        <v>1791.1</v>
      </c>
      <c r="I284" s="20">
        <f t="shared" si="43"/>
        <v>1791.1</v>
      </c>
      <c r="O284" s="29"/>
      <c r="P284" s="29"/>
    </row>
    <row r="285" spans="1:16" s="29" customFormat="1" x14ac:dyDescent="0.2">
      <c r="A285" s="31" t="s">
        <v>70</v>
      </c>
      <c r="B285" s="35">
        <v>911</v>
      </c>
      <c r="C285" s="27" t="s">
        <v>52</v>
      </c>
      <c r="D285" s="27" t="s">
        <v>18</v>
      </c>
      <c r="E285" s="27" t="s">
        <v>144</v>
      </c>
      <c r="F285" s="27" t="s">
        <v>71</v>
      </c>
      <c r="G285" s="28">
        <f>1791.1</f>
        <v>1791.1</v>
      </c>
      <c r="H285" s="28">
        <f>1791.1</f>
        <v>1791.1</v>
      </c>
      <c r="I285" s="28">
        <f>1791.1</f>
        <v>1791.1</v>
      </c>
      <c r="J285" s="21"/>
      <c r="K285" s="21"/>
      <c r="L285" s="21"/>
      <c r="M285" s="21"/>
      <c r="N285" s="21"/>
      <c r="O285" s="21"/>
      <c r="P285" s="21"/>
    </row>
    <row r="286" spans="1:16" ht="51" x14ac:dyDescent="0.2">
      <c r="A286" s="18" t="s">
        <v>356</v>
      </c>
      <c r="B286" s="22">
        <v>911</v>
      </c>
      <c r="C286" s="19" t="s">
        <v>52</v>
      </c>
      <c r="D286" s="19" t="s">
        <v>18</v>
      </c>
      <c r="E286" s="19" t="s">
        <v>142</v>
      </c>
      <c r="F286" s="19"/>
      <c r="G286" s="20">
        <f>G288+G289+G287</f>
        <v>6505</v>
      </c>
      <c r="H286" s="20">
        <f>H288+H289+H287</f>
        <v>6505</v>
      </c>
      <c r="I286" s="20">
        <f>I288+I289+I287</f>
        <v>6505</v>
      </c>
      <c r="J286" s="29"/>
      <c r="K286" s="29"/>
      <c r="L286" s="29"/>
      <c r="M286" s="29"/>
      <c r="N286" s="29"/>
      <c r="O286" s="29"/>
      <c r="P286" s="29"/>
    </row>
    <row r="287" spans="1:16" s="29" customFormat="1" ht="25.5" x14ac:dyDescent="0.2">
      <c r="A287" s="31" t="s">
        <v>77</v>
      </c>
      <c r="B287" s="36">
        <v>911</v>
      </c>
      <c r="C287" s="27" t="s">
        <v>52</v>
      </c>
      <c r="D287" s="27" t="s">
        <v>18</v>
      </c>
      <c r="E287" s="27" t="s">
        <v>142</v>
      </c>
      <c r="F287" s="30" t="s">
        <v>69</v>
      </c>
      <c r="G287" s="28">
        <f>3.5</f>
        <v>3.5</v>
      </c>
      <c r="H287" s="28">
        <f>3.5</f>
        <v>3.5</v>
      </c>
      <c r="I287" s="28">
        <f>3.5</f>
        <v>3.5</v>
      </c>
      <c r="J287" s="21"/>
      <c r="K287" s="21"/>
      <c r="L287" s="21"/>
      <c r="M287" s="21"/>
      <c r="N287" s="21"/>
    </row>
    <row r="288" spans="1:16" s="29" customFormat="1" x14ac:dyDescent="0.2">
      <c r="A288" s="29" t="s">
        <v>70</v>
      </c>
      <c r="B288" s="35">
        <v>911</v>
      </c>
      <c r="C288" s="27" t="s">
        <v>52</v>
      </c>
      <c r="D288" s="27" t="s">
        <v>18</v>
      </c>
      <c r="E288" s="27" t="s">
        <v>142</v>
      </c>
      <c r="F288" s="33">
        <v>300</v>
      </c>
      <c r="G288" s="28">
        <f>350</f>
        <v>350</v>
      </c>
      <c r="H288" s="28">
        <f>350</f>
        <v>350</v>
      </c>
      <c r="I288" s="28">
        <f>350</f>
        <v>350</v>
      </c>
      <c r="J288" s="9"/>
      <c r="K288" s="9"/>
      <c r="L288" s="9"/>
      <c r="M288" s="9"/>
      <c r="N288" s="9"/>
      <c r="O288" s="9"/>
      <c r="P288" s="9"/>
    </row>
    <row r="289" spans="1:16" s="29" customFormat="1" ht="25.5" x14ac:dyDescent="0.2">
      <c r="A289" s="31" t="s">
        <v>169</v>
      </c>
      <c r="B289" s="35">
        <v>911</v>
      </c>
      <c r="C289" s="27" t="s">
        <v>52</v>
      </c>
      <c r="D289" s="27" t="s">
        <v>18</v>
      </c>
      <c r="E289" s="27" t="s">
        <v>142</v>
      </c>
      <c r="F289" s="27" t="s">
        <v>66</v>
      </c>
      <c r="G289" s="28">
        <f>6151.5</f>
        <v>6151.5</v>
      </c>
      <c r="H289" s="28">
        <f>6151.5</f>
        <v>6151.5</v>
      </c>
      <c r="I289" s="28">
        <f>6151.5</f>
        <v>6151.5</v>
      </c>
      <c r="J289" s="3"/>
      <c r="K289" s="3"/>
      <c r="L289" s="3"/>
      <c r="M289" s="3"/>
      <c r="N289" s="3"/>
      <c r="O289" s="3"/>
      <c r="P289" s="3"/>
    </row>
    <row r="290" spans="1:16" ht="114.75" x14ac:dyDescent="0.2">
      <c r="A290" s="18" t="s">
        <v>357</v>
      </c>
      <c r="B290" s="22">
        <v>911</v>
      </c>
      <c r="C290" s="19" t="s">
        <v>52</v>
      </c>
      <c r="D290" s="19" t="s">
        <v>18</v>
      </c>
      <c r="E290" s="19" t="s">
        <v>143</v>
      </c>
      <c r="F290" s="19"/>
      <c r="G290" s="20">
        <f>G291</f>
        <v>37881</v>
      </c>
      <c r="H290" s="20">
        <f t="shared" ref="H290:I290" si="44">H291</f>
        <v>37881</v>
      </c>
      <c r="I290" s="20">
        <f t="shared" si="44"/>
        <v>37881</v>
      </c>
      <c r="J290" s="9"/>
      <c r="K290" s="9"/>
      <c r="L290" s="9"/>
      <c r="M290" s="9"/>
      <c r="N290" s="9"/>
      <c r="O290" s="9"/>
      <c r="P290" s="9"/>
    </row>
    <row r="291" spans="1:16" s="29" customFormat="1" x14ac:dyDescent="0.2">
      <c r="A291" s="31" t="s">
        <v>70</v>
      </c>
      <c r="B291" s="35">
        <v>911</v>
      </c>
      <c r="C291" s="27" t="s">
        <v>52</v>
      </c>
      <c r="D291" s="27" t="s">
        <v>18</v>
      </c>
      <c r="E291" s="27" t="s">
        <v>143</v>
      </c>
      <c r="F291" s="27" t="s">
        <v>71</v>
      </c>
      <c r="G291" s="28">
        <f>29732+8149</f>
        <v>37881</v>
      </c>
      <c r="H291" s="28">
        <f t="shared" ref="H291:I291" si="45">29732+8149</f>
        <v>37881</v>
      </c>
      <c r="I291" s="28">
        <f t="shared" si="45"/>
        <v>37881</v>
      </c>
      <c r="J291" s="21"/>
      <c r="K291" s="21"/>
      <c r="L291" s="21"/>
      <c r="M291" s="21"/>
      <c r="N291" s="21"/>
    </row>
    <row r="292" spans="1:16" s="9" customFormat="1" ht="25.5" x14ac:dyDescent="0.2">
      <c r="A292" s="48" t="s">
        <v>7</v>
      </c>
      <c r="B292" s="45">
        <v>913</v>
      </c>
      <c r="C292" s="49"/>
      <c r="D292" s="49"/>
      <c r="E292" s="49"/>
      <c r="F292" s="49"/>
      <c r="G292" s="47">
        <f>G293+G300+G319</f>
        <v>57148.7</v>
      </c>
      <c r="H292" s="47">
        <f>H293+H300+H319</f>
        <v>57148.7</v>
      </c>
      <c r="I292" s="47">
        <f>I293+I300+I319</f>
        <v>57148.7</v>
      </c>
      <c r="J292" s="29"/>
      <c r="K292" s="86"/>
      <c r="L292" s="86"/>
      <c r="M292" s="86"/>
      <c r="N292" s="29"/>
      <c r="O292" s="29"/>
      <c r="P292" s="29"/>
    </row>
    <row r="293" spans="1:16" s="3" customFormat="1" x14ac:dyDescent="0.2">
      <c r="A293" s="13" t="s">
        <v>37</v>
      </c>
      <c r="B293" s="50">
        <v>913</v>
      </c>
      <c r="C293" s="1" t="s">
        <v>19</v>
      </c>
      <c r="D293" s="1"/>
      <c r="E293" s="1"/>
      <c r="F293" s="1"/>
      <c r="G293" s="2">
        <f>G294</f>
        <v>14937.5</v>
      </c>
      <c r="H293" s="2">
        <f>H294</f>
        <v>14937.5</v>
      </c>
      <c r="I293" s="2">
        <f>I294</f>
        <v>14937.5</v>
      </c>
      <c r="J293" s="21"/>
      <c r="K293" s="21"/>
      <c r="L293" s="21"/>
      <c r="M293" s="21"/>
      <c r="N293" s="21"/>
      <c r="O293" s="29"/>
      <c r="P293" s="29"/>
    </row>
    <row r="294" spans="1:16" s="9" customFormat="1" x14ac:dyDescent="0.2">
      <c r="A294" s="11" t="s">
        <v>463</v>
      </c>
      <c r="B294" s="14">
        <v>913</v>
      </c>
      <c r="C294" s="8" t="s">
        <v>19</v>
      </c>
      <c r="D294" s="8" t="s">
        <v>16</v>
      </c>
      <c r="E294" s="8"/>
      <c r="F294" s="8"/>
      <c r="G294" s="4">
        <f>G295+G298</f>
        <v>14937.5</v>
      </c>
      <c r="H294" s="4">
        <f t="shared" ref="H294:I294" si="46">H295+H298</f>
        <v>14937.5</v>
      </c>
      <c r="I294" s="4">
        <f t="shared" si="46"/>
        <v>14937.5</v>
      </c>
      <c r="J294" s="21"/>
      <c r="K294" s="21"/>
      <c r="L294" s="21"/>
      <c r="M294" s="21"/>
      <c r="N294" s="21"/>
      <c r="O294" s="21"/>
      <c r="P294" s="21"/>
    </row>
    <row r="295" spans="1:16" ht="63.75" x14ac:dyDescent="0.2">
      <c r="A295" s="18" t="s">
        <v>325</v>
      </c>
      <c r="B295" s="22">
        <v>913</v>
      </c>
      <c r="C295" s="19" t="s">
        <v>19</v>
      </c>
      <c r="D295" s="19" t="s">
        <v>16</v>
      </c>
      <c r="E295" s="19" t="s">
        <v>324</v>
      </c>
      <c r="F295" s="19"/>
      <c r="G295" s="20">
        <f>G297+G296</f>
        <v>14828.8</v>
      </c>
      <c r="H295" s="20">
        <f>H297+H296</f>
        <v>14828.8</v>
      </c>
      <c r="I295" s="20">
        <f>I297+I296</f>
        <v>14828.8</v>
      </c>
    </row>
    <row r="296" spans="1:16" s="29" customFormat="1" x14ac:dyDescent="0.2">
      <c r="A296" s="31" t="s">
        <v>70</v>
      </c>
      <c r="B296" s="35">
        <v>913</v>
      </c>
      <c r="C296" s="27" t="s">
        <v>19</v>
      </c>
      <c r="D296" s="27" t="s">
        <v>16</v>
      </c>
      <c r="E296" s="27" t="s">
        <v>324</v>
      </c>
      <c r="F296" s="30" t="s">
        <v>71</v>
      </c>
      <c r="G296" s="28">
        <f>30</f>
        <v>30</v>
      </c>
      <c r="H296" s="28">
        <f>30</f>
        <v>30</v>
      </c>
      <c r="I296" s="28">
        <f>30</f>
        <v>30</v>
      </c>
      <c r="J296" s="12"/>
      <c r="K296" s="12"/>
      <c r="L296" s="12"/>
      <c r="M296" s="12"/>
      <c r="N296" s="12"/>
      <c r="O296" s="12"/>
      <c r="P296" s="12"/>
    </row>
    <row r="297" spans="1:16" s="29" customFormat="1" ht="25.5" x14ac:dyDescent="0.2">
      <c r="A297" s="31" t="s">
        <v>169</v>
      </c>
      <c r="B297" s="31">
        <v>913</v>
      </c>
      <c r="C297" s="27" t="s">
        <v>19</v>
      </c>
      <c r="D297" s="27" t="s">
        <v>16</v>
      </c>
      <c r="E297" s="27" t="s">
        <v>324</v>
      </c>
      <c r="F297" s="27" t="s">
        <v>66</v>
      </c>
      <c r="G297" s="28">
        <f>14798.8</f>
        <v>14798.8</v>
      </c>
      <c r="H297" s="28">
        <f t="shared" ref="H297:I297" si="47">14798.8</f>
        <v>14798.8</v>
      </c>
      <c r="I297" s="28">
        <f t="shared" si="47"/>
        <v>14798.8</v>
      </c>
    </row>
    <row r="298" spans="1:16" ht="25.5" x14ac:dyDescent="0.2">
      <c r="A298" s="18" t="s">
        <v>269</v>
      </c>
      <c r="B298" s="22">
        <v>913</v>
      </c>
      <c r="C298" s="19" t="s">
        <v>19</v>
      </c>
      <c r="D298" s="19" t="s">
        <v>16</v>
      </c>
      <c r="E298" s="19" t="s">
        <v>270</v>
      </c>
      <c r="F298" s="19"/>
      <c r="G298" s="20">
        <f>G299</f>
        <v>108.7</v>
      </c>
      <c r="H298" s="20">
        <f>H299</f>
        <v>108.7</v>
      </c>
      <c r="I298" s="20">
        <f>I299</f>
        <v>108.7</v>
      </c>
      <c r="J298" s="29"/>
      <c r="K298" s="29"/>
      <c r="L298" s="29"/>
      <c r="M298" s="29"/>
      <c r="N298" s="29"/>
      <c r="O298" s="29"/>
      <c r="P298" s="29"/>
    </row>
    <row r="299" spans="1:16" s="29" customFormat="1" ht="25.5" x14ac:dyDescent="0.2">
      <c r="A299" s="31" t="s">
        <v>169</v>
      </c>
      <c r="B299" s="35">
        <v>913</v>
      </c>
      <c r="C299" s="27" t="s">
        <v>19</v>
      </c>
      <c r="D299" s="27" t="s">
        <v>16</v>
      </c>
      <c r="E299" s="27" t="s">
        <v>270</v>
      </c>
      <c r="F299" s="27" t="s">
        <v>66</v>
      </c>
      <c r="G299" s="28">
        <f>108.7</f>
        <v>108.7</v>
      </c>
      <c r="H299" s="28">
        <f t="shared" ref="H299:I299" si="48">108.7</f>
        <v>108.7</v>
      </c>
      <c r="I299" s="28">
        <f t="shared" si="48"/>
        <v>108.7</v>
      </c>
      <c r="J299" s="21"/>
      <c r="K299" s="21"/>
      <c r="L299" s="21"/>
      <c r="M299" s="21"/>
      <c r="N299" s="21"/>
      <c r="O299" s="21"/>
      <c r="P299" s="21"/>
    </row>
    <row r="300" spans="1:16" s="3" customFormat="1" ht="25.5" x14ac:dyDescent="0.2">
      <c r="A300" s="13" t="s">
        <v>42</v>
      </c>
      <c r="B300" s="50">
        <v>913</v>
      </c>
      <c r="C300" s="1" t="s">
        <v>43</v>
      </c>
      <c r="D300" s="1"/>
      <c r="E300" s="1"/>
      <c r="F300" s="1"/>
      <c r="G300" s="2">
        <f>G301+G310</f>
        <v>42092.2</v>
      </c>
      <c r="H300" s="2">
        <f>H301+H310</f>
        <v>42092.2</v>
      </c>
      <c r="I300" s="2">
        <f>I301+I310</f>
        <v>42092.2</v>
      </c>
      <c r="J300" s="21"/>
      <c r="K300" s="21"/>
      <c r="L300" s="21"/>
      <c r="M300" s="21"/>
      <c r="N300" s="21"/>
      <c r="O300" s="21"/>
      <c r="P300" s="21"/>
    </row>
    <row r="301" spans="1:16" s="9" customFormat="1" x14ac:dyDescent="0.2">
      <c r="A301" s="11" t="s">
        <v>44</v>
      </c>
      <c r="B301" s="14">
        <v>913</v>
      </c>
      <c r="C301" s="8" t="s">
        <v>43</v>
      </c>
      <c r="D301" s="8" t="s">
        <v>12</v>
      </c>
      <c r="E301" s="8"/>
      <c r="F301" s="8"/>
      <c r="G301" s="4">
        <f>G302+G305+G307</f>
        <v>39345.5</v>
      </c>
      <c r="H301" s="4">
        <f t="shared" ref="H301:I301" si="49">H302+H305+H307</f>
        <v>39345.5</v>
      </c>
      <c r="I301" s="4">
        <f t="shared" si="49"/>
        <v>39345.5</v>
      </c>
      <c r="J301" s="21"/>
      <c r="K301" s="21"/>
      <c r="L301" s="21"/>
      <c r="M301" s="21"/>
      <c r="N301" s="21"/>
      <c r="O301" s="21"/>
      <c r="P301" s="21"/>
    </row>
    <row r="302" spans="1:16" x14ac:dyDescent="0.2">
      <c r="A302" s="18" t="s">
        <v>361</v>
      </c>
      <c r="B302" s="22">
        <v>913</v>
      </c>
      <c r="C302" s="19" t="s">
        <v>43</v>
      </c>
      <c r="D302" s="19" t="s">
        <v>12</v>
      </c>
      <c r="E302" s="19" t="s">
        <v>360</v>
      </c>
      <c r="F302" s="19"/>
      <c r="G302" s="20">
        <f>G304+G303</f>
        <v>27815.9</v>
      </c>
      <c r="H302" s="20">
        <f>H304+H303</f>
        <v>27815.9</v>
      </c>
      <c r="I302" s="20">
        <f>I304+I303</f>
        <v>27815.9</v>
      </c>
    </row>
    <row r="303" spans="1:16" s="29" customFormat="1" x14ac:dyDescent="0.2">
      <c r="A303" s="31" t="s">
        <v>70</v>
      </c>
      <c r="B303" s="31">
        <v>913</v>
      </c>
      <c r="C303" s="27" t="s">
        <v>43</v>
      </c>
      <c r="D303" s="27" t="s">
        <v>12</v>
      </c>
      <c r="E303" s="27" t="s">
        <v>360</v>
      </c>
      <c r="F303" s="30" t="s">
        <v>71</v>
      </c>
      <c r="G303" s="28">
        <f>15</f>
        <v>15</v>
      </c>
      <c r="H303" s="28">
        <f>15</f>
        <v>15</v>
      </c>
      <c r="I303" s="28">
        <f>15</f>
        <v>15</v>
      </c>
    </row>
    <row r="304" spans="1:16" s="29" customFormat="1" ht="25.5" x14ac:dyDescent="0.2">
      <c r="A304" s="31" t="s">
        <v>169</v>
      </c>
      <c r="B304" s="35">
        <v>913</v>
      </c>
      <c r="C304" s="27" t="s">
        <v>43</v>
      </c>
      <c r="D304" s="27" t="s">
        <v>12</v>
      </c>
      <c r="E304" s="27" t="s">
        <v>360</v>
      </c>
      <c r="F304" s="27" t="s">
        <v>66</v>
      </c>
      <c r="G304" s="28">
        <f>27800.9</f>
        <v>27800.9</v>
      </c>
      <c r="H304" s="28">
        <f t="shared" ref="H304:I304" si="50">27800.9</f>
        <v>27800.9</v>
      </c>
      <c r="I304" s="28">
        <f t="shared" si="50"/>
        <v>27800.9</v>
      </c>
      <c r="J304" s="21"/>
      <c r="K304" s="21"/>
      <c r="L304" s="21"/>
      <c r="M304" s="21"/>
      <c r="N304" s="21"/>
    </row>
    <row r="305" spans="1:16" x14ac:dyDescent="0.2">
      <c r="A305" s="18" t="s">
        <v>363</v>
      </c>
      <c r="B305" s="22">
        <v>913</v>
      </c>
      <c r="C305" s="19" t="s">
        <v>43</v>
      </c>
      <c r="D305" s="19" t="s">
        <v>12</v>
      </c>
      <c r="E305" s="19" t="s">
        <v>362</v>
      </c>
      <c r="F305" s="19"/>
      <c r="G305" s="20">
        <f>G306</f>
        <v>2172.8000000000002</v>
      </c>
      <c r="H305" s="20">
        <f>H306</f>
        <v>2172.8000000000002</v>
      </c>
      <c r="I305" s="20">
        <f>I306</f>
        <v>2172.8000000000002</v>
      </c>
      <c r="J305" s="9"/>
      <c r="K305" s="9"/>
      <c r="L305" s="9"/>
      <c r="M305" s="9"/>
      <c r="N305" s="9"/>
      <c r="O305" s="9"/>
      <c r="P305" s="9"/>
    </row>
    <row r="306" spans="1:16" s="29" customFormat="1" ht="25.5" x14ac:dyDescent="0.2">
      <c r="A306" s="31" t="s">
        <v>169</v>
      </c>
      <c r="B306" s="35">
        <v>913</v>
      </c>
      <c r="C306" s="27" t="s">
        <v>43</v>
      </c>
      <c r="D306" s="27" t="s">
        <v>12</v>
      </c>
      <c r="E306" s="27" t="s">
        <v>362</v>
      </c>
      <c r="F306" s="27" t="s">
        <v>66</v>
      </c>
      <c r="G306" s="28">
        <v>2172.8000000000002</v>
      </c>
      <c r="H306" s="28">
        <v>2172.8000000000002</v>
      </c>
      <c r="I306" s="28">
        <v>2172.8000000000002</v>
      </c>
      <c r="J306" s="21"/>
      <c r="K306" s="21"/>
      <c r="L306" s="21"/>
      <c r="M306" s="21"/>
      <c r="N306" s="21"/>
      <c r="O306" s="21"/>
      <c r="P306" s="21"/>
    </row>
    <row r="307" spans="1:16" x14ac:dyDescent="0.2">
      <c r="A307" s="18" t="s">
        <v>365</v>
      </c>
      <c r="B307" s="22">
        <v>913</v>
      </c>
      <c r="C307" s="19" t="s">
        <v>43</v>
      </c>
      <c r="D307" s="19" t="s">
        <v>12</v>
      </c>
      <c r="E307" s="19" t="s">
        <v>364</v>
      </c>
      <c r="F307" s="19"/>
      <c r="G307" s="20">
        <f>G309+G308</f>
        <v>9356.7999999999993</v>
      </c>
      <c r="H307" s="20">
        <f>H309+H308</f>
        <v>9356.7999999999993</v>
      </c>
      <c r="I307" s="20">
        <f>I309+I308</f>
        <v>9356.7999999999993</v>
      </c>
      <c r="O307" s="29"/>
      <c r="P307" s="29"/>
    </row>
    <row r="308" spans="1:16" s="29" customFormat="1" x14ac:dyDescent="0.2">
      <c r="A308" s="31" t="s">
        <v>70</v>
      </c>
      <c r="B308" s="31">
        <v>913</v>
      </c>
      <c r="C308" s="27" t="s">
        <v>43</v>
      </c>
      <c r="D308" s="27" t="s">
        <v>12</v>
      </c>
      <c r="E308" s="27" t="s">
        <v>364</v>
      </c>
      <c r="F308" s="30" t="s">
        <v>71</v>
      </c>
      <c r="G308" s="28">
        <f>15</f>
        <v>15</v>
      </c>
      <c r="H308" s="28">
        <f>15</f>
        <v>15</v>
      </c>
      <c r="I308" s="28">
        <f>15</f>
        <v>15</v>
      </c>
      <c r="J308" s="21"/>
      <c r="K308" s="21"/>
      <c r="L308" s="21"/>
      <c r="M308" s="21"/>
      <c r="N308" s="21"/>
    </row>
    <row r="309" spans="1:16" s="29" customFormat="1" ht="25.5" x14ac:dyDescent="0.2">
      <c r="A309" s="31" t="s">
        <v>169</v>
      </c>
      <c r="B309" s="35">
        <v>913</v>
      </c>
      <c r="C309" s="27" t="s">
        <v>43</v>
      </c>
      <c r="D309" s="27" t="s">
        <v>12</v>
      </c>
      <c r="E309" s="27" t="s">
        <v>364</v>
      </c>
      <c r="F309" s="27" t="s">
        <v>66</v>
      </c>
      <c r="G309" s="28">
        <f>9341.8</f>
        <v>9341.7999999999993</v>
      </c>
      <c r="H309" s="28">
        <f t="shared" ref="H309:I309" si="51">9341.8</f>
        <v>9341.7999999999993</v>
      </c>
      <c r="I309" s="28">
        <f t="shared" si="51"/>
        <v>9341.7999999999993</v>
      </c>
      <c r="J309" s="21"/>
      <c r="K309" s="21"/>
      <c r="L309" s="21"/>
      <c r="M309" s="21"/>
      <c r="N309" s="21"/>
    </row>
    <row r="310" spans="1:16" s="9" customFormat="1" ht="25.5" x14ac:dyDescent="0.2">
      <c r="A310" s="11" t="s">
        <v>25</v>
      </c>
      <c r="B310" s="14">
        <v>913</v>
      </c>
      <c r="C310" s="8" t="s">
        <v>43</v>
      </c>
      <c r="D310" s="8" t="s">
        <v>18</v>
      </c>
      <c r="E310" s="8"/>
      <c r="F310" s="8"/>
      <c r="G310" s="4">
        <f>G311+G315</f>
        <v>2746.7000000000003</v>
      </c>
      <c r="H310" s="4">
        <f>H311+H315</f>
        <v>2746.7000000000003</v>
      </c>
      <c r="I310" s="4">
        <f>I311+I315</f>
        <v>2746.7000000000003</v>
      </c>
      <c r="J310" s="21"/>
      <c r="K310" s="21"/>
      <c r="L310" s="21"/>
      <c r="M310" s="21"/>
      <c r="N310" s="21"/>
      <c r="O310" s="21"/>
      <c r="P310" s="21"/>
    </row>
    <row r="311" spans="1:16" x14ac:dyDescent="0.2">
      <c r="A311" s="18" t="s">
        <v>367</v>
      </c>
      <c r="B311" s="22">
        <v>913</v>
      </c>
      <c r="C311" s="19" t="s">
        <v>43</v>
      </c>
      <c r="D311" s="19" t="s">
        <v>18</v>
      </c>
      <c r="E311" s="19" t="s">
        <v>366</v>
      </c>
      <c r="F311" s="19"/>
      <c r="G311" s="20">
        <f>G312+G313+G314</f>
        <v>719.1</v>
      </c>
      <c r="H311" s="20">
        <f>H312+H313+H314</f>
        <v>719.1</v>
      </c>
      <c r="I311" s="20">
        <f>I312+I313+I314</f>
        <v>719.1</v>
      </c>
      <c r="O311" s="29"/>
      <c r="P311" s="29"/>
    </row>
    <row r="312" spans="1:16" s="29" customFormat="1" ht="63.75" x14ac:dyDescent="0.2">
      <c r="A312" s="26" t="s">
        <v>67</v>
      </c>
      <c r="B312" s="35">
        <v>913</v>
      </c>
      <c r="C312" s="27" t="s">
        <v>43</v>
      </c>
      <c r="D312" s="27" t="s">
        <v>18</v>
      </c>
      <c r="E312" s="27" t="s">
        <v>366</v>
      </c>
      <c r="F312" s="30" t="s">
        <v>68</v>
      </c>
      <c r="G312" s="28">
        <v>624.5</v>
      </c>
      <c r="H312" s="28">
        <v>624.5</v>
      </c>
      <c r="I312" s="28">
        <v>624.5</v>
      </c>
      <c r="J312" s="21"/>
      <c r="K312" s="21"/>
      <c r="L312" s="21"/>
      <c r="M312" s="21"/>
      <c r="N312" s="21"/>
    </row>
    <row r="313" spans="1:16" s="29" customFormat="1" ht="25.5" x14ac:dyDescent="0.2">
      <c r="A313" s="31" t="s">
        <v>77</v>
      </c>
      <c r="B313" s="35">
        <v>913</v>
      </c>
      <c r="C313" s="27" t="s">
        <v>43</v>
      </c>
      <c r="D313" s="27" t="s">
        <v>18</v>
      </c>
      <c r="E313" s="27" t="s">
        <v>366</v>
      </c>
      <c r="F313" s="30" t="s">
        <v>69</v>
      </c>
      <c r="G313" s="28">
        <v>85.9</v>
      </c>
      <c r="H313" s="28">
        <v>85.9</v>
      </c>
      <c r="I313" s="28">
        <v>85.9</v>
      </c>
      <c r="J313" s="3"/>
      <c r="K313" s="3"/>
      <c r="L313" s="3"/>
      <c r="M313" s="3"/>
      <c r="N313" s="3"/>
      <c r="O313" s="3"/>
      <c r="P313" s="3"/>
    </row>
    <row r="314" spans="1:16" s="29" customFormat="1" x14ac:dyDescent="0.2">
      <c r="A314" s="31" t="s">
        <v>73</v>
      </c>
      <c r="B314" s="35">
        <v>913</v>
      </c>
      <c r="C314" s="27" t="s">
        <v>43</v>
      </c>
      <c r="D314" s="27" t="s">
        <v>18</v>
      </c>
      <c r="E314" s="27" t="s">
        <v>366</v>
      </c>
      <c r="F314" s="27" t="s">
        <v>74</v>
      </c>
      <c r="G314" s="28">
        <v>8.6999999999999993</v>
      </c>
      <c r="H314" s="28">
        <v>8.6999999999999993</v>
      </c>
      <c r="I314" s="28">
        <v>8.6999999999999993</v>
      </c>
      <c r="J314" s="9"/>
      <c r="K314" s="9"/>
      <c r="L314" s="9"/>
      <c r="M314" s="9"/>
      <c r="N314" s="9"/>
      <c r="O314" s="9"/>
      <c r="P314" s="9"/>
    </row>
    <row r="315" spans="1:16" x14ac:dyDescent="0.2">
      <c r="A315" s="18" t="s">
        <v>368</v>
      </c>
      <c r="B315" s="22">
        <v>913</v>
      </c>
      <c r="C315" s="19" t="s">
        <v>43</v>
      </c>
      <c r="D315" s="19" t="s">
        <v>18</v>
      </c>
      <c r="E315" s="19" t="s">
        <v>369</v>
      </c>
      <c r="F315" s="19"/>
      <c r="G315" s="20">
        <f>G316+G317+G318</f>
        <v>2027.6000000000001</v>
      </c>
      <c r="H315" s="20">
        <f t="shared" ref="H315:I315" si="52">H316+H317+H318</f>
        <v>2027.6000000000001</v>
      </c>
      <c r="I315" s="20">
        <f t="shared" si="52"/>
        <v>2027.6000000000001</v>
      </c>
    </row>
    <row r="316" spans="1:16" s="29" customFormat="1" ht="63.75" x14ac:dyDescent="0.2">
      <c r="A316" s="26" t="s">
        <v>67</v>
      </c>
      <c r="B316" s="35">
        <v>913</v>
      </c>
      <c r="C316" s="27" t="s">
        <v>43</v>
      </c>
      <c r="D316" s="27" t="s">
        <v>18</v>
      </c>
      <c r="E316" s="27" t="s">
        <v>369</v>
      </c>
      <c r="F316" s="30" t="s">
        <v>68</v>
      </c>
      <c r="G316" s="28">
        <v>1773.9</v>
      </c>
      <c r="H316" s="28">
        <v>1773.9</v>
      </c>
      <c r="I316" s="28">
        <v>1773.9</v>
      </c>
      <c r="J316" s="21"/>
      <c r="K316" s="21"/>
      <c r="L316" s="21"/>
      <c r="M316" s="21"/>
      <c r="N316" s="21"/>
    </row>
    <row r="317" spans="1:16" s="29" customFormat="1" ht="25.5" x14ac:dyDescent="0.2">
      <c r="A317" s="31" t="s">
        <v>77</v>
      </c>
      <c r="B317" s="35">
        <v>913</v>
      </c>
      <c r="C317" s="27" t="s">
        <v>43</v>
      </c>
      <c r="D317" s="27" t="s">
        <v>18</v>
      </c>
      <c r="E317" s="27" t="s">
        <v>369</v>
      </c>
      <c r="F317" s="30" t="s">
        <v>69</v>
      </c>
      <c r="G317" s="28">
        <v>253.4</v>
      </c>
      <c r="H317" s="28">
        <v>253.4</v>
      </c>
      <c r="I317" s="28">
        <v>253.4</v>
      </c>
      <c r="J317" s="9"/>
      <c r="K317" s="9"/>
      <c r="L317" s="9"/>
      <c r="M317" s="9"/>
      <c r="N317" s="9"/>
      <c r="O317" s="9"/>
      <c r="P317" s="9"/>
    </row>
    <row r="318" spans="1:16" s="29" customFormat="1" x14ac:dyDescent="0.2">
      <c r="A318" s="31" t="s">
        <v>73</v>
      </c>
      <c r="B318" s="35">
        <v>913</v>
      </c>
      <c r="C318" s="27" t="s">
        <v>43</v>
      </c>
      <c r="D318" s="27" t="s">
        <v>18</v>
      </c>
      <c r="E318" s="27" t="s">
        <v>369</v>
      </c>
      <c r="F318" s="30" t="s">
        <v>74</v>
      </c>
      <c r="G318" s="28">
        <v>0.3</v>
      </c>
      <c r="H318" s="28">
        <v>0.3</v>
      </c>
      <c r="I318" s="28">
        <v>0.3</v>
      </c>
      <c r="J318" s="9"/>
      <c r="K318" s="9"/>
      <c r="L318" s="9"/>
      <c r="M318" s="9"/>
      <c r="N318" s="9"/>
      <c r="O318" s="9"/>
      <c r="P318" s="9"/>
    </row>
    <row r="319" spans="1:16" s="3" customFormat="1" x14ac:dyDescent="0.2">
      <c r="A319" s="13" t="s">
        <v>53</v>
      </c>
      <c r="B319" s="50">
        <v>913</v>
      </c>
      <c r="C319" s="1" t="s">
        <v>52</v>
      </c>
      <c r="D319" s="1"/>
      <c r="E319" s="1"/>
      <c r="F319" s="1"/>
      <c r="G319" s="2">
        <f>G320</f>
        <v>119</v>
      </c>
      <c r="H319" s="2">
        <f>H320</f>
        <v>119</v>
      </c>
      <c r="I319" s="2">
        <f>I320</f>
        <v>119</v>
      </c>
    </row>
    <row r="320" spans="1:16" s="9" customFormat="1" x14ac:dyDescent="0.2">
      <c r="A320" s="11" t="s">
        <v>56</v>
      </c>
      <c r="B320" s="14">
        <v>913</v>
      </c>
      <c r="C320" s="8" t="s">
        <v>52</v>
      </c>
      <c r="D320" s="8" t="s">
        <v>16</v>
      </c>
      <c r="E320" s="8"/>
      <c r="F320" s="8"/>
      <c r="G320" s="4">
        <f>SUM(G321)</f>
        <v>119</v>
      </c>
      <c r="H320" s="4">
        <f>SUM(H321)</f>
        <v>119</v>
      </c>
      <c r="I320" s="4">
        <f>SUM(I321)</f>
        <v>119</v>
      </c>
      <c r="J320" s="21"/>
      <c r="K320" s="21"/>
      <c r="L320" s="21"/>
      <c r="M320" s="21"/>
      <c r="N320" s="21"/>
      <c r="O320" s="21"/>
      <c r="P320" s="21"/>
    </row>
    <row r="321" spans="1:16" ht="38.25" x14ac:dyDescent="0.2">
      <c r="A321" s="18" t="s">
        <v>348</v>
      </c>
      <c r="B321" s="22">
        <v>913</v>
      </c>
      <c r="C321" s="19">
        <v>10</v>
      </c>
      <c r="D321" s="19" t="s">
        <v>16</v>
      </c>
      <c r="E321" s="19" t="s">
        <v>88</v>
      </c>
      <c r="F321" s="19"/>
      <c r="G321" s="20">
        <f>G322</f>
        <v>119</v>
      </c>
      <c r="H321" s="20">
        <f>H322</f>
        <v>119</v>
      </c>
      <c r="I321" s="20">
        <f>I322</f>
        <v>119</v>
      </c>
    </row>
    <row r="322" spans="1:16" s="29" customFormat="1" x14ac:dyDescent="0.2">
      <c r="A322" s="29" t="s">
        <v>70</v>
      </c>
      <c r="B322" s="35">
        <v>913</v>
      </c>
      <c r="C322" s="27">
        <v>10</v>
      </c>
      <c r="D322" s="27" t="s">
        <v>16</v>
      </c>
      <c r="E322" s="27" t="s">
        <v>88</v>
      </c>
      <c r="F322" s="27" t="s">
        <v>71</v>
      </c>
      <c r="G322" s="28">
        <v>119</v>
      </c>
      <c r="H322" s="28">
        <v>119</v>
      </c>
      <c r="I322" s="28">
        <v>119</v>
      </c>
      <c r="J322" s="21"/>
      <c r="K322" s="21"/>
      <c r="L322" s="21"/>
      <c r="M322" s="21"/>
      <c r="N322" s="21"/>
      <c r="O322" s="21"/>
      <c r="P322" s="21"/>
    </row>
    <row r="323" spans="1:16" s="9" customFormat="1" ht="29.25" customHeight="1" x14ac:dyDescent="0.2">
      <c r="A323" s="48" t="s">
        <v>50</v>
      </c>
      <c r="B323" s="45">
        <v>915</v>
      </c>
      <c r="C323" s="49"/>
      <c r="D323" s="49"/>
      <c r="E323" s="49"/>
      <c r="F323" s="49"/>
      <c r="G323" s="47">
        <f>G324</f>
        <v>579459.70000000007</v>
      </c>
      <c r="H323" s="47">
        <f t="shared" ref="H323:I323" si="53">H324</f>
        <v>579443.10000000009</v>
      </c>
      <c r="I323" s="47">
        <f t="shared" si="53"/>
        <v>574834.9</v>
      </c>
      <c r="J323" s="86"/>
      <c r="K323" s="86"/>
      <c r="L323" s="86"/>
      <c r="M323" s="3"/>
      <c r="N323" s="3"/>
      <c r="O323" s="3"/>
      <c r="P323" s="3"/>
    </row>
    <row r="324" spans="1:16" s="3" customFormat="1" x14ac:dyDescent="0.2">
      <c r="A324" s="13" t="s">
        <v>53</v>
      </c>
      <c r="B324" s="50">
        <v>915</v>
      </c>
      <c r="C324" s="1" t="s">
        <v>52</v>
      </c>
      <c r="D324" s="1"/>
      <c r="E324" s="1"/>
      <c r="F324" s="1"/>
      <c r="G324" s="2">
        <f>G325+G329+G339+G404+G416</f>
        <v>579459.70000000007</v>
      </c>
      <c r="H324" s="2">
        <f>H325+H329+H339+H404+H416</f>
        <v>579443.10000000009</v>
      </c>
      <c r="I324" s="2">
        <f>I325+I329+I339+I404+I416</f>
        <v>574834.9</v>
      </c>
      <c r="J324" s="21"/>
      <c r="K324" s="21"/>
      <c r="L324" s="21"/>
      <c r="M324" s="21"/>
      <c r="N324" s="21"/>
      <c r="O324" s="21"/>
      <c r="P324" s="21"/>
    </row>
    <row r="325" spans="1:16" s="9" customFormat="1" x14ac:dyDescent="0.2">
      <c r="A325" s="11" t="s">
        <v>54</v>
      </c>
      <c r="B325" s="14">
        <v>915</v>
      </c>
      <c r="C325" s="8" t="s">
        <v>52</v>
      </c>
      <c r="D325" s="8" t="s">
        <v>12</v>
      </c>
      <c r="E325" s="8"/>
      <c r="F325" s="8"/>
      <c r="G325" s="4">
        <f>G326</f>
        <v>5694.1</v>
      </c>
      <c r="H325" s="4">
        <f>H326</f>
        <v>5694.1</v>
      </c>
      <c r="I325" s="4">
        <f>I326</f>
        <v>5694.1</v>
      </c>
      <c r="J325" s="21"/>
      <c r="K325" s="21"/>
      <c r="L325" s="21"/>
      <c r="M325" s="21"/>
      <c r="N325" s="21"/>
      <c r="O325" s="29"/>
      <c r="P325" s="29"/>
    </row>
    <row r="326" spans="1:16" ht="89.25" x14ac:dyDescent="0.2">
      <c r="A326" s="18" t="s">
        <v>371</v>
      </c>
      <c r="B326" s="22">
        <v>915</v>
      </c>
      <c r="C326" s="19" t="s">
        <v>52</v>
      </c>
      <c r="D326" s="19" t="s">
        <v>12</v>
      </c>
      <c r="E326" s="19" t="s">
        <v>372</v>
      </c>
      <c r="F326" s="19"/>
      <c r="G326" s="20">
        <f>G328+G327</f>
        <v>5694.1</v>
      </c>
      <c r="H326" s="20">
        <f>H328+H327</f>
        <v>5694.1</v>
      </c>
      <c r="I326" s="20">
        <f>I328+I327</f>
        <v>5694.1</v>
      </c>
    </row>
    <row r="327" spans="1:16" ht="25.5" x14ac:dyDescent="0.2">
      <c r="A327" s="31" t="s">
        <v>77</v>
      </c>
      <c r="B327" s="26">
        <v>915</v>
      </c>
      <c r="C327" s="27" t="s">
        <v>52</v>
      </c>
      <c r="D327" s="27" t="s">
        <v>12</v>
      </c>
      <c r="E327" s="27" t="s">
        <v>372</v>
      </c>
      <c r="F327" s="30" t="s">
        <v>69</v>
      </c>
      <c r="G327" s="28">
        <v>28.3</v>
      </c>
      <c r="H327" s="28">
        <v>28.3</v>
      </c>
      <c r="I327" s="28">
        <v>28.3</v>
      </c>
    </row>
    <row r="328" spans="1:16" s="29" customFormat="1" x14ac:dyDescent="0.2">
      <c r="A328" s="31" t="s">
        <v>70</v>
      </c>
      <c r="B328" s="35">
        <v>915</v>
      </c>
      <c r="C328" s="27" t="s">
        <v>52</v>
      </c>
      <c r="D328" s="27" t="s">
        <v>12</v>
      </c>
      <c r="E328" s="27" t="s">
        <v>372</v>
      </c>
      <c r="F328" s="27" t="s">
        <v>71</v>
      </c>
      <c r="G328" s="28">
        <v>5665.8</v>
      </c>
      <c r="H328" s="28">
        <v>5665.8</v>
      </c>
      <c r="I328" s="28">
        <v>5665.8</v>
      </c>
      <c r="J328" s="21"/>
      <c r="K328" s="21"/>
      <c r="L328" s="21"/>
      <c r="M328" s="21"/>
      <c r="N328" s="21"/>
    </row>
    <row r="329" spans="1:16" s="9" customFormat="1" x14ac:dyDescent="0.2">
      <c r="A329" s="11" t="s">
        <v>55</v>
      </c>
      <c r="B329" s="14">
        <v>915</v>
      </c>
      <c r="C329" s="8" t="s">
        <v>52</v>
      </c>
      <c r="D329" s="8" t="s">
        <v>14</v>
      </c>
      <c r="E329" s="8"/>
      <c r="F329" s="8"/>
      <c r="G329" s="4">
        <f>G330+G332+G336</f>
        <v>112220</v>
      </c>
      <c r="H329" s="4">
        <f>H330+H332+H336</f>
        <v>111866.9</v>
      </c>
      <c r="I329" s="4">
        <f>I330+I332+I336</f>
        <v>111788.70000000001</v>
      </c>
      <c r="J329" s="21"/>
      <c r="K329" s="21"/>
      <c r="L329" s="21"/>
      <c r="M329" s="21"/>
      <c r="N329" s="21"/>
      <c r="O329" s="29"/>
      <c r="P329" s="29"/>
    </row>
    <row r="330" spans="1:16" ht="51" x14ac:dyDescent="0.2">
      <c r="A330" s="18" t="s">
        <v>373</v>
      </c>
      <c r="B330" s="22">
        <v>915</v>
      </c>
      <c r="C330" s="19" t="s">
        <v>52</v>
      </c>
      <c r="D330" s="19" t="s">
        <v>14</v>
      </c>
      <c r="E330" s="19" t="s">
        <v>110</v>
      </c>
      <c r="F330" s="19"/>
      <c r="G330" s="20">
        <f>G331</f>
        <v>75409</v>
      </c>
      <c r="H330" s="20">
        <f>H331</f>
        <v>75201</v>
      </c>
      <c r="I330" s="20">
        <f>I331</f>
        <v>75155</v>
      </c>
      <c r="O330" s="29"/>
      <c r="P330" s="29"/>
    </row>
    <row r="331" spans="1:16" s="29" customFormat="1" ht="25.5" x14ac:dyDescent="0.2">
      <c r="A331" s="31" t="s">
        <v>169</v>
      </c>
      <c r="B331" s="35">
        <v>915</v>
      </c>
      <c r="C331" s="27" t="s">
        <v>52</v>
      </c>
      <c r="D331" s="27" t="s">
        <v>14</v>
      </c>
      <c r="E331" s="27" t="s">
        <v>111</v>
      </c>
      <c r="F331" s="27" t="s">
        <v>66</v>
      </c>
      <c r="G331" s="28">
        <f>75409</f>
        <v>75409</v>
      </c>
      <c r="H331" s="28">
        <f>75201</f>
        <v>75201</v>
      </c>
      <c r="I331" s="28">
        <f>75155</f>
        <v>75155</v>
      </c>
      <c r="J331" s="21"/>
      <c r="K331" s="21"/>
      <c r="L331" s="21"/>
      <c r="M331" s="21"/>
      <c r="N331" s="21"/>
      <c r="O331" s="21"/>
      <c r="P331" s="21"/>
    </row>
    <row r="332" spans="1:16" ht="76.5" x14ac:dyDescent="0.2">
      <c r="A332" s="18" t="s">
        <v>374</v>
      </c>
      <c r="B332" s="22">
        <v>915</v>
      </c>
      <c r="C332" s="19" t="s">
        <v>52</v>
      </c>
      <c r="D332" s="19" t="s">
        <v>14</v>
      </c>
      <c r="E332" s="19" t="s">
        <v>113</v>
      </c>
      <c r="F332" s="19"/>
      <c r="G332" s="20">
        <f>G333+G334+G335</f>
        <v>36780</v>
      </c>
      <c r="H332" s="20">
        <f>H333+H334+H335</f>
        <v>36634.9</v>
      </c>
      <c r="I332" s="20">
        <f>I333+I334+I335</f>
        <v>36602.700000000004</v>
      </c>
      <c r="J332" s="29"/>
      <c r="K332" s="29"/>
      <c r="L332" s="29"/>
      <c r="M332" s="29"/>
      <c r="N332" s="29"/>
      <c r="O332" s="29"/>
      <c r="P332" s="29"/>
    </row>
    <row r="333" spans="1:16" s="29" customFormat="1" ht="63.75" x14ac:dyDescent="0.2">
      <c r="A333" s="26" t="s">
        <v>67</v>
      </c>
      <c r="B333" s="35">
        <v>915</v>
      </c>
      <c r="C333" s="27" t="s">
        <v>52</v>
      </c>
      <c r="D333" s="27" t="s">
        <v>14</v>
      </c>
      <c r="E333" s="27" t="s">
        <v>113</v>
      </c>
      <c r="F333" s="30" t="s">
        <v>68</v>
      </c>
      <c r="G333" s="28">
        <f>23374.8+7059.2+5.8</f>
        <v>30439.8</v>
      </c>
      <c r="H333" s="28">
        <f>23374.8+7059.2+4.7</f>
        <v>30438.7</v>
      </c>
      <c r="I333" s="28">
        <f>23374.8+7059.2+4.7</f>
        <v>30438.7</v>
      </c>
      <c r="J333" s="21"/>
      <c r="K333" s="21"/>
      <c r="L333" s="21"/>
      <c r="M333" s="21"/>
      <c r="N333" s="21"/>
    </row>
    <row r="334" spans="1:16" s="29" customFormat="1" ht="25.5" x14ac:dyDescent="0.2">
      <c r="A334" s="31" t="s">
        <v>77</v>
      </c>
      <c r="B334" s="35">
        <v>915</v>
      </c>
      <c r="C334" s="27" t="s">
        <v>52</v>
      </c>
      <c r="D334" s="27" t="s">
        <v>14</v>
      </c>
      <c r="E334" s="27" t="s">
        <v>113</v>
      </c>
      <c r="F334" s="30" t="s">
        <v>69</v>
      </c>
      <c r="G334" s="28">
        <f>6065.2</f>
        <v>6065.2</v>
      </c>
      <c r="H334" s="28">
        <f>5921.2</f>
        <v>5921.2</v>
      </c>
      <c r="I334" s="28">
        <f>5891.2</f>
        <v>5891.2</v>
      </c>
      <c r="J334" s="9"/>
      <c r="K334" s="9"/>
      <c r="L334" s="9"/>
      <c r="M334" s="9"/>
      <c r="N334" s="9"/>
      <c r="O334" s="9"/>
      <c r="P334" s="9"/>
    </row>
    <row r="335" spans="1:16" s="29" customFormat="1" x14ac:dyDescent="0.2">
      <c r="A335" s="31" t="s">
        <v>73</v>
      </c>
      <c r="B335" s="35">
        <v>915</v>
      </c>
      <c r="C335" s="27" t="s">
        <v>52</v>
      </c>
      <c r="D335" s="27" t="s">
        <v>14</v>
      </c>
      <c r="E335" s="27" t="s">
        <v>113</v>
      </c>
      <c r="F335" s="27" t="s">
        <v>74</v>
      </c>
      <c r="G335" s="28">
        <f>275</f>
        <v>275</v>
      </c>
      <c r="H335" s="28">
        <f>275</f>
        <v>275</v>
      </c>
      <c r="I335" s="28">
        <f>272.8</f>
        <v>272.8</v>
      </c>
      <c r="J335" s="21"/>
      <c r="K335" s="21"/>
      <c r="L335" s="21"/>
      <c r="M335" s="21"/>
      <c r="N335" s="21"/>
      <c r="O335" s="21"/>
      <c r="P335" s="21"/>
    </row>
    <row r="336" spans="1:16" ht="25.5" x14ac:dyDescent="0.2">
      <c r="A336" s="18" t="s">
        <v>375</v>
      </c>
      <c r="B336" s="22">
        <v>915</v>
      </c>
      <c r="C336" s="19" t="s">
        <v>52</v>
      </c>
      <c r="D336" s="19" t="s">
        <v>14</v>
      </c>
      <c r="E336" s="19" t="s">
        <v>376</v>
      </c>
      <c r="F336" s="19"/>
      <c r="G336" s="20">
        <f>G337+G338</f>
        <v>31</v>
      </c>
      <c r="H336" s="20">
        <f>H337+H338</f>
        <v>31</v>
      </c>
      <c r="I336" s="20">
        <f>I337+I338</f>
        <v>31</v>
      </c>
    </row>
    <row r="337" spans="1:16" s="29" customFormat="1" ht="63.75" x14ac:dyDescent="0.2">
      <c r="A337" s="34" t="s">
        <v>67</v>
      </c>
      <c r="B337" s="36">
        <v>915</v>
      </c>
      <c r="C337" s="27" t="s">
        <v>52</v>
      </c>
      <c r="D337" s="27" t="s">
        <v>14</v>
      </c>
      <c r="E337" s="27" t="s">
        <v>376</v>
      </c>
      <c r="F337" s="30" t="s">
        <v>68</v>
      </c>
      <c r="G337" s="28">
        <f>17.2</f>
        <v>17.2</v>
      </c>
      <c r="H337" s="28">
        <f t="shared" ref="H337:I337" si="54">17.2</f>
        <v>17.2</v>
      </c>
      <c r="I337" s="28">
        <f t="shared" si="54"/>
        <v>17.2</v>
      </c>
      <c r="J337" s="21"/>
      <c r="K337" s="21"/>
      <c r="L337" s="21"/>
      <c r="M337" s="21"/>
      <c r="N337" s="21"/>
      <c r="O337" s="21"/>
      <c r="P337" s="21"/>
    </row>
    <row r="338" spans="1:16" s="29" customFormat="1" ht="25.5" x14ac:dyDescent="0.2">
      <c r="A338" s="31" t="s">
        <v>77</v>
      </c>
      <c r="B338" s="35">
        <v>915</v>
      </c>
      <c r="C338" s="27" t="s">
        <v>52</v>
      </c>
      <c r="D338" s="27" t="s">
        <v>14</v>
      </c>
      <c r="E338" s="27" t="s">
        <v>376</v>
      </c>
      <c r="F338" s="30" t="s">
        <v>69</v>
      </c>
      <c r="G338" s="28">
        <v>13.8</v>
      </c>
      <c r="H338" s="28">
        <v>13.8</v>
      </c>
      <c r="I338" s="28">
        <v>13.8</v>
      </c>
      <c r="J338" s="21"/>
      <c r="K338" s="21"/>
      <c r="L338" s="21"/>
      <c r="M338" s="21"/>
      <c r="N338" s="21"/>
      <c r="O338" s="21"/>
      <c r="P338" s="21"/>
    </row>
    <row r="339" spans="1:16" s="9" customFormat="1" x14ac:dyDescent="0.2">
      <c r="A339" s="11" t="s">
        <v>56</v>
      </c>
      <c r="B339" s="14">
        <v>915</v>
      </c>
      <c r="C339" s="8" t="s">
        <v>52</v>
      </c>
      <c r="D339" s="8" t="s">
        <v>16</v>
      </c>
      <c r="E339" s="8"/>
      <c r="F339" s="8"/>
      <c r="G339" s="4">
        <f>G343+G346+G349+G352+G355+G358+G364+G367+G370+G373+G376+G379+G381+G383+G386+G389+G392+G395+G398+G401+G361+G340</f>
        <v>324292.8</v>
      </c>
      <c r="H339" s="4">
        <f>H343+H346+H349+H352+H355+H358+H364+H367+H370+H373+H376+H379+H381+H383+H386+H389+H392+H395+H398+H401+H361+H340</f>
        <v>324014.3</v>
      </c>
      <c r="I339" s="4">
        <f>I343+I346+I349+I352+I355+I358+I364+I367+I370+I373+I376+I379+I381+I383+I386+I389+I392+I395+I398+I401+I361+I340</f>
        <v>323714.3</v>
      </c>
      <c r="J339" s="86"/>
      <c r="K339" s="86"/>
      <c r="L339" s="86"/>
      <c r="M339" s="29"/>
      <c r="N339" s="29"/>
      <c r="O339" s="29"/>
      <c r="P339" s="29"/>
    </row>
    <row r="340" spans="1:16" ht="51" x14ac:dyDescent="0.2">
      <c r="A340" s="18" t="s">
        <v>377</v>
      </c>
      <c r="B340" s="18">
        <v>915</v>
      </c>
      <c r="C340" s="19" t="s">
        <v>52</v>
      </c>
      <c r="D340" s="19" t="s">
        <v>16</v>
      </c>
      <c r="E340" s="19" t="s">
        <v>131</v>
      </c>
      <c r="F340" s="19"/>
      <c r="G340" s="20">
        <f>G342+G341</f>
        <v>501</v>
      </c>
      <c r="H340" s="20">
        <f>H342+H341</f>
        <v>530</v>
      </c>
      <c r="I340" s="20">
        <f>I342+I341</f>
        <v>530</v>
      </c>
      <c r="O340" s="29"/>
      <c r="P340" s="29"/>
    </row>
    <row r="341" spans="1:16" ht="25.5" x14ac:dyDescent="0.2">
      <c r="A341" s="31" t="s">
        <v>77</v>
      </c>
      <c r="B341" s="26">
        <v>915</v>
      </c>
      <c r="C341" s="27" t="s">
        <v>52</v>
      </c>
      <c r="D341" s="27" t="s">
        <v>16</v>
      </c>
      <c r="E341" s="27" t="s">
        <v>131</v>
      </c>
      <c r="F341" s="30" t="s">
        <v>69</v>
      </c>
      <c r="G341" s="28">
        <f>2.2</f>
        <v>2.2000000000000002</v>
      </c>
      <c r="H341" s="28">
        <f>2.2</f>
        <v>2.2000000000000002</v>
      </c>
      <c r="I341" s="28">
        <f>2.2</f>
        <v>2.2000000000000002</v>
      </c>
    </row>
    <row r="342" spans="1:16" x14ac:dyDescent="0.2">
      <c r="A342" s="31" t="s">
        <v>70</v>
      </c>
      <c r="B342" s="31">
        <v>915</v>
      </c>
      <c r="C342" s="27" t="s">
        <v>52</v>
      </c>
      <c r="D342" s="27" t="s">
        <v>16</v>
      </c>
      <c r="E342" s="27" t="s">
        <v>131</v>
      </c>
      <c r="F342" s="27" t="s">
        <v>71</v>
      </c>
      <c r="G342" s="28">
        <f>498.8</f>
        <v>498.8</v>
      </c>
      <c r="H342" s="28">
        <f>527.8</f>
        <v>527.79999999999995</v>
      </c>
      <c r="I342" s="28">
        <f>527.8</f>
        <v>527.79999999999995</v>
      </c>
      <c r="J342" s="29"/>
      <c r="K342" s="29"/>
      <c r="L342" s="29"/>
      <c r="M342" s="29"/>
      <c r="N342" s="29"/>
      <c r="O342" s="29"/>
      <c r="P342" s="29"/>
    </row>
    <row r="343" spans="1:16" ht="38.25" x14ac:dyDescent="0.2">
      <c r="A343" s="18" t="s">
        <v>378</v>
      </c>
      <c r="B343" s="22">
        <v>915</v>
      </c>
      <c r="C343" s="19" t="s">
        <v>52</v>
      </c>
      <c r="D343" s="19" t="s">
        <v>16</v>
      </c>
      <c r="E343" s="19" t="s">
        <v>115</v>
      </c>
      <c r="F343" s="19"/>
      <c r="G343" s="20">
        <f>G345+G344</f>
        <v>7600</v>
      </c>
      <c r="H343" s="20">
        <f>H345+H344</f>
        <v>7600</v>
      </c>
      <c r="I343" s="20">
        <f>I345+I344</f>
        <v>7600</v>
      </c>
      <c r="O343" s="29"/>
      <c r="P343" s="29"/>
    </row>
    <row r="344" spans="1:16" s="29" customFormat="1" ht="25.5" x14ac:dyDescent="0.2">
      <c r="A344" s="31" t="s">
        <v>77</v>
      </c>
      <c r="B344" s="26">
        <v>915</v>
      </c>
      <c r="C344" s="27" t="s">
        <v>52</v>
      </c>
      <c r="D344" s="27" t="s">
        <v>16</v>
      </c>
      <c r="E344" s="27" t="s">
        <v>115</v>
      </c>
      <c r="F344" s="30" t="s">
        <v>69</v>
      </c>
      <c r="G344" s="28">
        <f>52.2</f>
        <v>52.2</v>
      </c>
      <c r="H344" s="28">
        <f>52.2</f>
        <v>52.2</v>
      </c>
      <c r="I344" s="28">
        <f>52.2</f>
        <v>52.2</v>
      </c>
      <c r="J344" s="21"/>
      <c r="K344" s="21"/>
      <c r="L344" s="21"/>
      <c r="M344" s="21"/>
      <c r="N344" s="21"/>
      <c r="O344" s="21"/>
      <c r="P344" s="21"/>
    </row>
    <row r="345" spans="1:16" s="29" customFormat="1" x14ac:dyDescent="0.2">
      <c r="A345" s="31" t="s">
        <v>70</v>
      </c>
      <c r="B345" s="35">
        <v>915</v>
      </c>
      <c r="C345" s="27" t="s">
        <v>52</v>
      </c>
      <c r="D345" s="27" t="s">
        <v>16</v>
      </c>
      <c r="E345" s="27" t="s">
        <v>115</v>
      </c>
      <c r="F345" s="27" t="s">
        <v>71</v>
      </c>
      <c r="G345" s="28">
        <f>7547.8</f>
        <v>7547.8</v>
      </c>
      <c r="H345" s="28">
        <f>7547.8</f>
        <v>7547.8</v>
      </c>
      <c r="I345" s="28">
        <f>7547.8</f>
        <v>7547.8</v>
      </c>
    </row>
    <row r="346" spans="1:16" ht="25.5" x14ac:dyDescent="0.2">
      <c r="A346" s="18" t="s">
        <v>379</v>
      </c>
      <c r="B346" s="22">
        <v>915</v>
      </c>
      <c r="C346" s="19" t="s">
        <v>52</v>
      </c>
      <c r="D346" s="19" t="s">
        <v>16</v>
      </c>
      <c r="E346" s="19" t="s">
        <v>117</v>
      </c>
      <c r="F346" s="19"/>
      <c r="G346" s="20">
        <f>G348+G347</f>
        <v>56772</v>
      </c>
      <c r="H346" s="20">
        <f>H348+H347</f>
        <v>56759</v>
      </c>
      <c r="I346" s="20">
        <f>I348+I347</f>
        <v>56753</v>
      </c>
      <c r="O346" s="29"/>
      <c r="P346" s="29"/>
    </row>
    <row r="347" spans="1:16" s="29" customFormat="1" ht="25.5" x14ac:dyDescent="0.2">
      <c r="A347" s="31" t="s">
        <v>77</v>
      </c>
      <c r="B347" s="26">
        <v>915</v>
      </c>
      <c r="C347" s="27" t="s">
        <v>52</v>
      </c>
      <c r="D347" s="27" t="s">
        <v>16</v>
      </c>
      <c r="E347" s="27" t="s">
        <v>117</v>
      </c>
      <c r="F347" s="30" t="s">
        <v>69</v>
      </c>
      <c r="G347" s="28">
        <f>713</f>
        <v>713</v>
      </c>
      <c r="H347" s="28">
        <f>713</f>
        <v>713</v>
      </c>
      <c r="I347" s="28">
        <f>713</f>
        <v>713</v>
      </c>
      <c r="J347" s="21"/>
      <c r="K347" s="21"/>
      <c r="L347" s="21"/>
      <c r="M347" s="21"/>
      <c r="N347" s="21"/>
      <c r="O347" s="21"/>
      <c r="P347" s="21"/>
    </row>
    <row r="348" spans="1:16" s="29" customFormat="1" x14ac:dyDescent="0.2">
      <c r="A348" s="31" t="s">
        <v>70</v>
      </c>
      <c r="B348" s="35">
        <v>915</v>
      </c>
      <c r="C348" s="27" t="s">
        <v>52</v>
      </c>
      <c r="D348" s="27" t="s">
        <v>16</v>
      </c>
      <c r="E348" s="27" t="s">
        <v>117</v>
      </c>
      <c r="F348" s="27" t="s">
        <v>71</v>
      </c>
      <c r="G348" s="28">
        <f>56059</f>
        <v>56059</v>
      </c>
      <c r="H348" s="28">
        <f>56046</f>
        <v>56046</v>
      </c>
      <c r="I348" s="28">
        <f>56040</f>
        <v>56040</v>
      </c>
    </row>
    <row r="349" spans="1:16" ht="89.25" x14ac:dyDescent="0.2">
      <c r="A349" s="18" t="s">
        <v>380</v>
      </c>
      <c r="B349" s="22">
        <v>915</v>
      </c>
      <c r="C349" s="19" t="s">
        <v>52</v>
      </c>
      <c r="D349" s="19" t="s">
        <v>16</v>
      </c>
      <c r="E349" s="19" t="s">
        <v>116</v>
      </c>
      <c r="F349" s="19"/>
      <c r="G349" s="20">
        <f>G350+G351</f>
        <v>11.5</v>
      </c>
      <c r="H349" s="20">
        <f>H350+H351</f>
        <v>13</v>
      </c>
      <c r="I349" s="20">
        <f>I350+I351</f>
        <v>15</v>
      </c>
      <c r="O349" s="29"/>
      <c r="P349" s="29"/>
    </row>
    <row r="350" spans="1:16" s="29" customFormat="1" ht="25.5" x14ac:dyDescent="0.2">
      <c r="A350" s="31" t="s">
        <v>77</v>
      </c>
      <c r="B350" s="26">
        <v>915</v>
      </c>
      <c r="C350" s="27" t="s">
        <v>52</v>
      </c>
      <c r="D350" s="27" t="s">
        <v>16</v>
      </c>
      <c r="E350" s="27" t="s">
        <v>116</v>
      </c>
      <c r="F350" s="30" t="s">
        <v>69</v>
      </c>
      <c r="G350" s="28">
        <f>0.1</f>
        <v>0.1</v>
      </c>
      <c r="H350" s="28">
        <f>0.1</f>
        <v>0.1</v>
      </c>
      <c r="I350" s="28">
        <f>0.1</f>
        <v>0.1</v>
      </c>
      <c r="J350" s="21"/>
      <c r="K350" s="21"/>
      <c r="L350" s="21"/>
      <c r="M350" s="21"/>
      <c r="N350" s="21"/>
      <c r="O350" s="21"/>
      <c r="P350" s="21"/>
    </row>
    <row r="351" spans="1:16" s="29" customFormat="1" x14ac:dyDescent="0.2">
      <c r="A351" s="31" t="s">
        <v>70</v>
      </c>
      <c r="B351" s="35">
        <v>915</v>
      </c>
      <c r="C351" s="27" t="s">
        <v>52</v>
      </c>
      <c r="D351" s="27" t="s">
        <v>16</v>
      </c>
      <c r="E351" s="27" t="s">
        <v>116</v>
      </c>
      <c r="F351" s="27" t="s">
        <v>71</v>
      </c>
      <c r="G351" s="28">
        <f>11.4</f>
        <v>11.4</v>
      </c>
      <c r="H351" s="28">
        <f>12.9</f>
        <v>12.9</v>
      </c>
      <c r="I351" s="28">
        <f>14.9</f>
        <v>14.9</v>
      </c>
    </row>
    <row r="352" spans="1:16" ht="63.75" x14ac:dyDescent="0.2">
      <c r="A352" s="18" t="s">
        <v>257</v>
      </c>
      <c r="B352" s="22">
        <v>915</v>
      </c>
      <c r="C352" s="19" t="s">
        <v>52</v>
      </c>
      <c r="D352" s="19" t="s">
        <v>16</v>
      </c>
      <c r="E352" s="19" t="s">
        <v>105</v>
      </c>
      <c r="F352" s="19"/>
      <c r="G352" s="20">
        <f>G354+G353</f>
        <v>25230.799999999999</v>
      </c>
      <c r="H352" s="20">
        <f>H354+H353</f>
        <v>25230.799999999999</v>
      </c>
      <c r="I352" s="20">
        <f>I354+I353</f>
        <v>25230.799999999999</v>
      </c>
      <c r="O352" s="29"/>
      <c r="P352" s="29"/>
    </row>
    <row r="353" spans="1:16" s="29" customFormat="1" ht="25.5" x14ac:dyDescent="0.2">
      <c r="A353" s="31" t="s">
        <v>77</v>
      </c>
      <c r="B353" s="26">
        <v>915</v>
      </c>
      <c r="C353" s="27" t="s">
        <v>52</v>
      </c>
      <c r="D353" s="27" t="s">
        <v>16</v>
      </c>
      <c r="E353" s="27" t="s">
        <v>105</v>
      </c>
      <c r="F353" s="30" t="s">
        <v>69</v>
      </c>
      <c r="G353" s="28">
        <f>185.1+70.2</f>
        <v>255.3</v>
      </c>
      <c r="H353" s="28">
        <f>185.1+70.2</f>
        <v>255.3</v>
      </c>
      <c r="I353" s="28">
        <f>185.1+70.2</f>
        <v>255.3</v>
      </c>
      <c r="J353" s="21"/>
      <c r="K353" s="21"/>
      <c r="L353" s="21"/>
      <c r="M353" s="21"/>
      <c r="N353" s="21"/>
      <c r="O353" s="21"/>
      <c r="P353" s="21"/>
    </row>
    <row r="354" spans="1:16" s="29" customFormat="1" x14ac:dyDescent="0.2">
      <c r="A354" s="31" t="s">
        <v>70</v>
      </c>
      <c r="B354" s="35">
        <v>915</v>
      </c>
      <c r="C354" s="27" t="s">
        <v>52</v>
      </c>
      <c r="D354" s="27" t="s">
        <v>16</v>
      </c>
      <c r="E354" s="27" t="s">
        <v>105</v>
      </c>
      <c r="F354" s="27" t="s">
        <v>71</v>
      </c>
      <c r="G354" s="28">
        <f>24955.5+20</f>
        <v>24975.5</v>
      </c>
      <c r="H354" s="28">
        <f>24955.5+20</f>
        <v>24975.5</v>
      </c>
      <c r="I354" s="28">
        <f>24955.5+20</f>
        <v>24975.5</v>
      </c>
    </row>
    <row r="355" spans="1:16" ht="140.25" x14ac:dyDescent="0.2">
      <c r="A355" s="18" t="s">
        <v>258</v>
      </c>
      <c r="B355" s="22">
        <v>915</v>
      </c>
      <c r="C355" s="19" t="s">
        <v>52</v>
      </c>
      <c r="D355" s="19" t="s">
        <v>16</v>
      </c>
      <c r="E355" s="19" t="s">
        <v>106</v>
      </c>
      <c r="F355" s="19"/>
      <c r="G355" s="20">
        <f>G357+G356</f>
        <v>2078</v>
      </c>
      <c r="H355" s="20">
        <f>H357+H356</f>
        <v>2078</v>
      </c>
      <c r="I355" s="20">
        <f>I357+I356</f>
        <v>2078</v>
      </c>
      <c r="O355" s="29"/>
      <c r="P355" s="29"/>
    </row>
    <row r="356" spans="1:16" s="29" customFormat="1" ht="25.5" x14ac:dyDescent="0.2">
      <c r="A356" s="31" t="s">
        <v>77</v>
      </c>
      <c r="B356" s="35">
        <v>915</v>
      </c>
      <c r="C356" s="27" t="s">
        <v>52</v>
      </c>
      <c r="D356" s="27" t="s">
        <v>16</v>
      </c>
      <c r="E356" s="27" t="s">
        <v>106</v>
      </c>
      <c r="F356" s="30" t="s">
        <v>69</v>
      </c>
      <c r="G356" s="28">
        <f>38+2</f>
        <v>40</v>
      </c>
      <c r="H356" s="28">
        <f>38+2</f>
        <v>40</v>
      </c>
      <c r="I356" s="28">
        <f>38+2</f>
        <v>40</v>
      </c>
      <c r="J356" s="21"/>
      <c r="K356" s="21"/>
      <c r="L356" s="21"/>
      <c r="M356" s="21"/>
      <c r="N356" s="21"/>
      <c r="O356" s="21"/>
      <c r="P356" s="21"/>
    </row>
    <row r="357" spans="1:16" s="29" customFormat="1" x14ac:dyDescent="0.2">
      <c r="A357" s="31" t="s">
        <v>70</v>
      </c>
      <c r="B357" s="35">
        <v>915</v>
      </c>
      <c r="C357" s="27" t="s">
        <v>52</v>
      </c>
      <c r="D357" s="27" t="s">
        <v>16</v>
      </c>
      <c r="E357" s="27" t="s">
        <v>106</v>
      </c>
      <c r="F357" s="27" t="s">
        <v>71</v>
      </c>
      <c r="G357" s="28">
        <f>2038</f>
        <v>2038</v>
      </c>
      <c r="H357" s="28">
        <f>2038</f>
        <v>2038</v>
      </c>
      <c r="I357" s="28">
        <f>2038</f>
        <v>2038</v>
      </c>
      <c r="J357" s="21"/>
      <c r="K357" s="21"/>
      <c r="L357" s="21"/>
      <c r="M357" s="21"/>
      <c r="N357" s="21"/>
      <c r="O357" s="21"/>
      <c r="P357" s="21"/>
    </row>
    <row r="358" spans="1:16" ht="89.25" x14ac:dyDescent="0.2">
      <c r="A358" s="18" t="s">
        <v>259</v>
      </c>
      <c r="B358" s="22">
        <v>915</v>
      </c>
      <c r="C358" s="19" t="s">
        <v>52</v>
      </c>
      <c r="D358" s="19" t="s">
        <v>16</v>
      </c>
      <c r="E358" s="19" t="s">
        <v>107</v>
      </c>
      <c r="F358" s="19"/>
      <c r="G358" s="20">
        <f>G360+G359</f>
        <v>9559.5999999999985</v>
      </c>
      <c r="H358" s="20">
        <f>H360+H359</f>
        <v>9559.5999999999985</v>
      </c>
      <c r="I358" s="20">
        <f>I360+I359</f>
        <v>9559.5999999999985</v>
      </c>
    </row>
    <row r="359" spans="1:16" s="29" customFormat="1" ht="25.5" x14ac:dyDescent="0.2">
      <c r="A359" s="31" t="s">
        <v>77</v>
      </c>
      <c r="B359" s="26">
        <v>915</v>
      </c>
      <c r="C359" s="27" t="s">
        <v>52</v>
      </c>
      <c r="D359" s="27" t="s">
        <v>16</v>
      </c>
      <c r="E359" s="27" t="s">
        <v>107</v>
      </c>
      <c r="F359" s="30" t="s">
        <v>69</v>
      </c>
      <c r="G359" s="28">
        <f>99.2+20.6</f>
        <v>119.80000000000001</v>
      </c>
      <c r="H359" s="28">
        <f>99.2+20.6</f>
        <v>119.80000000000001</v>
      </c>
      <c r="I359" s="28">
        <f>99.2+20.6</f>
        <v>119.80000000000001</v>
      </c>
      <c r="J359" s="21"/>
      <c r="K359" s="21"/>
      <c r="L359" s="21"/>
      <c r="M359" s="21"/>
      <c r="N359" s="21"/>
      <c r="O359" s="21"/>
      <c r="P359" s="21"/>
    </row>
    <row r="360" spans="1:16" s="29" customFormat="1" x14ac:dyDescent="0.2">
      <c r="A360" s="31" t="s">
        <v>70</v>
      </c>
      <c r="B360" s="35">
        <v>915</v>
      </c>
      <c r="C360" s="27" t="s">
        <v>52</v>
      </c>
      <c r="D360" s="27" t="s">
        <v>16</v>
      </c>
      <c r="E360" s="27" t="s">
        <v>107</v>
      </c>
      <c r="F360" s="27" t="s">
        <v>71</v>
      </c>
      <c r="G360" s="28">
        <f>9008.8+431</f>
        <v>9439.7999999999993</v>
      </c>
      <c r="H360" s="28">
        <f>9008.8+431</f>
        <v>9439.7999999999993</v>
      </c>
      <c r="I360" s="28">
        <f>9008.8+431</f>
        <v>9439.7999999999993</v>
      </c>
    </row>
    <row r="361" spans="1:16" ht="38.25" x14ac:dyDescent="0.2">
      <c r="A361" s="18" t="s">
        <v>381</v>
      </c>
      <c r="B361" s="18">
        <v>915</v>
      </c>
      <c r="C361" s="19" t="s">
        <v>52</v>
      </c>
      <c r="D361" s="19" t="s">
        <v>16</v>
      </c>
      <c r="E361" s="19" t="s">
        <v>121</v>
      </c>
      <c r="F361" s="19"/>
      <c r="G361" s="20">
        <f>G363+G362</f>
        <v>1</v>
      </c>
      <c r="H361" s="20">
        <f>H363+H362</f>
        <v>1</v>
      </c>
      <c r="I361" s="20">
        <f>I363+I362</f>
        <v>1</v>
      </c>
      <c r="O361" s="29"/>
      <c r="P361" s="29"/>
    </row>
    <row r="362" spans="1:16" ht="25.5" x14ac:dyDescent="0.2">
      <c r="A362" s="31" t="s">
        <v>77</v>
      </c>
      <c r="B362" s="26">
        <v>915</v>
      </c>
      <c r="C362" s="27" t="s">
        <v>52</v>
      </c>
      <c r="D362" s="27" t="s">
        <v>16</v>
      </c>
      <c r="E362" s="27" t="s">
        <v>121</v>
      </c>
      <c r="F362" s="30" t="s">
        <v>69</v>
      </c>
      <c r="G362" s="28">
        <f>0.1</f>
        <v>0.1</v>
      </c>
      <c r="H362" s="28">
        <f>0.1</f>
        <v>0.1</v>
      </c>
      <c r="I362" s="28">
        <f>0.1</f>
        <v>0.1</v>
      </c>
    </row>
    <row r="363" spans="1:16" x14ac:dyDescent="0.2">
      <c r="A363" s="31" t="s">
        <v>70</v>
      </c>
      <c r="B363" s="31">
        <v>915</v>
      </c>
      <c r="C363" s="27" t="s">
        <v>52</v>
      </c>
      <c r="D363" s="27" t="s">
        <v>16</v>
      </c>
      <c r="E363" s="27" t="s">
        <v>121</v>
      </c>
      <c r="F363" s="27" t="s">
        <v>71</v>
      </c>
      <c r="G363" s="28">
        <v>0.9</v>
      </c>
      <c r="H363" s="28">
        <v>0.9</v>
      </c>
      <c r="I363" s="28">
        <v>0.9</v>
      </c>
      <c r="J363" s="29"/>
      <c r="K363" s="29"/>
      <c r="L363" s="29"/>
      <c r="M363" s="29"/>
      <c r="N363" s="29"/>
      <c r="O363" s="29"/>
      <c r="P363" s="29"/>
    </row>
    <row r="364" spans="1:16" ht="51" x14ac:dyDescent="0.2">
      <c r="A364" s="18" t="s">
        <v>354</v>
      </c>
      <c r="B364" s="22">
        <v>915</v>
      </c>
      <c r="C364" s="19" t="s">
        <v>52</v>
      </c>
      <c r="D364" s="19" t="s">
        <v>16</v>
      </c>
      <c r="E364" s="19" t="s">
        <v>122</v>
      </c>
      <c r="F364" s="19"/>
      <c r="G364" s="20">
        <f>G366+G365</f>
        <v>12047</v>
      </c>
      <c r="H364" s="20">
        <f>H366+H365</f>
        <v>12047</v>
      </c>
      <c r="I364" s="20">
        <f>I366+I365</f>
        <v>12047</v>
      </c>
      <c r="O364" s="29"/>
      <c r="P364" s="29"/>
    </row>
    <row r="365" spans="1:16" s="29" customFormat="1" ht="25.5" x14ac:dyDescent="0.2">
      <c r="A365" s="31" t="s">
        <v>77</v>
      </c>
      <c r="B365" s="26">
        <v>915</v>
      </c>
      <c r="C365" s="27" t="s">
        <v>52</v>
      </c>
      <c r="D365" s="27" t="s">
        <v>16</v>
      </c>
      <c r="E365" s="27" t="s">
        <v>122</v>
      </c>
      <c r="F365" s="30" t="s">
        <v>69</v>
      </c>
      <c r="G365" s="28">
        <f>1+62.9</f>
        <v>63.9</v>
      </c>
      <c r="H365" s="28">
        <f>1+62.9</f>
        <v>63.9</v>
      </c>
      <c r="I365" s="28">
        <f>1+62.9</f>
        <v>63.9</v>
      </c>
      <c r="J365" s="21"/>
      <c r="K365" s="21"/>
      <c r="L365" s="21"/>
      <c r="M365" s="21"/>
      <c r="N365" s="21"/>
      <c r="O365" s="21"/>
      <c r="P365" s="21"/>
    </row>
    <row r="366" spans="1:16" s="29" customFormat="1" x14ac:dyDescent="0.2">
      <c r="A366" s="31" t="s">
        <v>70</v>
      </c>
      <c r="B366" s="35">
        <v>915</v>
      </c>
      <c r="C366" s="27" t="s">
        <v>52</v>
      </c>
      <c r="D366" s="27" t="s">
        <v>16</v>
      </c>
      <c r="E366" s="27" t="s">
        <v>122</v>
      </c>
      <c r="F366" s="27" t="s">
        <v>71</v>
      </c>
      <c r="G366" s="28">
        <f>11933.1+50</f>
        <v>11983.1</v>
      </c>
      <c r="H366" s="28">
        <f>11933.1+50</f>
        <v>11983.1</v>
      </c>
      <c r="I366" s="28">
        <f>11933.1+50</f>
        <v>11983.1</v>
      </c>
    </row>
    <row r="367" spans="1:16" ht="63.75" x14ac:dyDescent="0.2">
      <c r="A367" s="18" t="s">
        <v>260</v>
      </c>
      <c r="B367" s="22">
        <v>915</v>
      </c>
      <c r="C367" s="19" t="s">
        <v>52</v>
      </c>
      <c r="D367" s="19" t="s">
        <v>16</v>
      </c>
      <c r="E367" s="19" t="s">
        <v>108</v>
      </c>
      <c r="F367" s="19"/>
      <c r="G367" s="20">
        <f>G369+G368</f>
        <v>499.4</v>
      </c>
      <c r="H367" s="20">
        <f>H369+H368</f>
        <v>499.4</v>
      </c>
      <c r="I367" s="20">
        <f>I369+I368</f>
        <v>499.4</v>
      </c>
      <c r="J367" s="29"/>
      <c r="K367" s="29"/>
      <c r="L367" s="29"/>
      <c r="M367" s="29"/>
      <c r="N367" s="29"/>
      <c r="O367" s="29"/>
      <c r="P367" s="29"/>
    </row>
    <row r="368" spans="1:16" s="29" customFormat="1" ht="25.5" x14ac:dyDescent="0.2">
      <c r="A368" s="31" t="s">
        <v>77</v>
      </c>
      <c r="B368" s="26">
        <v>915</v>
      </c>
      <c r="C368" s="27" t="s">
        <v>52</v>
      </c>
      <c r="D368" s="27" t="s">
        <v>16</v>
      </c>
      <c r="E368" s="27" t="s">
        <v>108</v>
      </c>
      <c r="F368" s="30" t="s">
        <v>69</v>
      </c>
      <c r="G368" s="28">
        <f>3.1+2.1</f>
        <v>5.2</v>
      </c>
      <c r="H368" s="28">
        <f>3.1+2.1</f>
        <v>5.2</v>
      </c>
      <c r="I368" s="28">
        <f>3.1+2.1</f>
        <v>5.2</v>
      </c>
      <c r="J368" s="21"/>
      <c r="K368" s="21"/>
      <c r="L368" s="21"/>
      <c r="M368" s="21"/>
      <c r="N368" s="21"/>
      <c r="O368" s="21"/>
      <c r="P368" s="21"/>
    </row>
    <row r="369" spans="1:16" s="29" customFormat="1" x14ac:dyDescent="0.2">
      <c r="A369" s="31" t="s">
        <v>70</v>
      </c>
      <c r="B369" s="35">
        <v>915</v>
      </c>
      <c r="C369" s="27" t="s">
        <v>52</v>
      </c>
      <c r="D369" s="27" t="s">
        <v>16</v>
      </c>
      <c r="E369" s="27" t="s">
        <v>108</v>
      </c>
      <c r="F369" s="27" t="s">
        <v>71</v>
      </c>
      <c r="G369" s="28">
        <f>494.2</f>
        <v>494.2</v>
      </c>
      <c r="H369" s="28">
        <f>494.2</f>
        <v>494.2</v>
      </c>
      <c r="I369" s="28">
        <f>494.2</f>
        <v>494.2</v>
      </c>
    </row>
    <row r="370" spans="1:16" ht="63.75" x14ac:dyDescent="0.2">
      <c r="A370" s="18" t="s">
        <v>382</v>
      </c>
      <c r="B370" s="58">
        <v>915</v>
      </c>
      <c r="C370" s="19" t="s">
        <v>52</v>
      </c>
      <c r="D370" s="19" t="s">
        <v>16</v>
      </c>
      <c r="E370" s="19" t="s">
        <v>125</v>
      </c>
      <c r="F370" s="19"/>
      <c r="G370" s="20">
        <f>G372+G371</f>
        <v>12.7</v>
      </c>
      <c r="H370" s="20">
        <f>H372+H371</f>
        <v>12.7</v>
      </c>
      <c r="I370" s="20">
        <f>I372+I371</f>
        <v>12.7</v>
      </c>
      <c r="O370" s="29"/>
      <c r="P370" s="29"/>
    </row>
    <row r="371" spans="1:16" s="29" customFormat="1" ht="25.5" x14ac:dyDescent="0.2">
      <c r="A371" s="31" t="s">
        <v>77</v>
      </c>
      <c r="B371" s="26">
        <v>915</v>
      </c>
      <c r="C371" s="27" t="s">
        <v>52</v>
      </c>
      <c r="D371" s="27" t="s">
        <v>16</v>
      </c>
      <c r="E371" s="27" t="s">
        <v>125</v>
      </c>
      <c r="F371" s="30" t="s">
        <v>69</v>
      </c>
      <c r="G371" s="28">
        <f>0.1</f>
        <v>0.1</v>
      </c>
      <c r="H371" s="28">
        <f>0.1</f>
        <v>0.1</v>
      </c>
      <c r="I371" s="28">
        <f>0.1</f>
        <v>0.1</v>
      </c>
      <c r="J371" s="21"/>
      <c r="K371" s="21"/>
      <c r="L371" s="21"/>
      <c r="M371" s="21"/>
      <c r="N371" s="21"/>
      <c r="O371" s="21"/>
      <c r="P371" s="21"/>
    </row>
    <row r="372" spans="1:16" s="29" customFormat="1" x14ac:dyDescent="0.2">
      <c r="A372" s="31" t="s">
        <v>70</v>
      </c>
      <c r="B372" s="35">
        <v>915</v>
      </c>
      <c r="C372" s="27" t="s">
        <v>52</v>
      </c>
      <c r="D372" s="27" t="s">
        <v>16</v>
      </c>
      <c r="E372" s="27" t="s">
        <v>125</v>
      </c>
      <c r="F372" s="27" t="s">
        <v>71</v>
      </c>
      <c r="G372" s="28">
        <f>12.6</f>
        <v>12.6</v>
      </c>
      <c r="H372" s="28">
        <f>12.6</f>
        <v>12.6</v>
      </c>
      <c r="I372" s="28">
        <f>12.6</f>
        <v>12.6</v>
      </c>
    </row>
    <row r="373" spans="1:16" ht="51" x14ac:dyDescent="0.2">
      <c r="A373" s="18" t="s">
        <v>261</v>
      </c>
      <c r="B373" s="22">
        <v>915</v>
      </c>
      <c r="C373" s="19" t="s">
        <v>52</v>
      </c>
      <c r="D373" s="19" t="s">
        <v>16</v>
      </c>
      <c r="E373" s="19" t="s">
        <v>109</v>
      </c>
      <c r="F373" s="19"/>
      <c r="G373" s="20">
        <f>G375+G374</f>
        <v>690.6</v>
      </c>
      <c r="H373" s="20">
        <f>H375+H374</f>
        <v>690.6</v>
      </c>
      <c r="I373" s="20">
        <f>I375+I374</f>
        <v>690.6</v>
      </c>
      <c r="O373" s="29"/>
      <c r="P373" s="29"/>
    </row>
    <row r="374" spans="1:16" s="29" customFormat="1" ht="25.5" x14ac:dyDescent="0.2">
      <c r="A374" s="31" t="s">
        <v>77</v>
      </c>
      <c r="B374" s="26">
        <v>915</v>
      </c>
      <c r="C374" s="27" t="s">
        <v>52</v>
      </c>
      <c r="D374" s="27" t="s">
        <v>16</v>
      </c>
      <c r="E374" s="27" t="s">
        <v>109</v>
      </c>
      <c r="F374" s="30" t="s">
        <v>69</v>
      </c>
      <c r="G374" s="28">
        <f>9.2+1.5</f>
        <v>10.7</v>
      </c>
      <c r="H374" s="28">
        <f>9.2+1.5</f>
        <v>10.7</v>
      </c>
      <c r="I374" s="28">
        <f>9.2+1.5</f>
        <v>10.7</v>
      </c>
      <c r="J374" s="21"/>
      <c r="K374" s="21"/>
      <c r="L374" s="21"/>
      <c r="M374" s="21"/>
      <c r="N374" s="21"/>
      <c r="O374" s="21"/>
      <c r="P374" s="21"/>
    </row>
    <row r="375" spans="1:16" s="29" customFormat="1" x14ac:dyDescent="0.2">
      <c r="A375" s="31" t="s">
        <v>70</v>
      </c>
      <c r="B375" s="35">
        <v>915</v>
      </c>
      <c r="C375" s="27" t="s">
        <v>52</v>
      </c>
      <c r="D375" s="27" t="s">
        <v>16</v>
      </c>
      <c r="E375" s="27" t="s">
        <v>109</v>
      </c>
      <c r="F375" s="27" t="s">
        <v>71</v>
      </c>
      <c r="G375" s="28">
        <f>679.9</f>
        <v>679.9</v>
      </c>
      <c r="H375" s="28">
        <f>679.9</f>
        <v>679.9</v>
      </c>
      <c r="I375" s="28">
        <f>679.9</f>
        <v>679.9</v>
      </c>
      <c r="J375" s="21"/>
      <c r="K375" s="21"/>
      <c r="L375" s="21"/>
      <c r="M375" s="21"/>
      <c r="N375" s="21"/>
    </row>
    <row r="376" spans="1:16" ht="25.5" x14ac:dyDescent="0.2">
      <c r="A376" s="18" t="s">
        <v>383</v>
      </c>
      <c r="B376" s="22">
        <v>915</v>
      </c>
      <c r="C376" s="19" t="s">
        <v>52</v>
      </c>
      <c r="D376" s="19" t="s">
        <v>16</v>
      </c>
      <c r="E376" s="19" t="s">
        <v>119</v>
      </c>
      <c r="F376" s="19"/>
      <c r="G376" s="20">
        <f>G378+G377</f>
        <v>92227</v>
      </c>
      <c r="H376" s="20">
        <f>H378+H377</f>
        <v>92227</v>
      </c>
      <c r="I376" s="20">
        <f>I378+I377</f>
        <v>92227</v>
      </c>
    </row>
    <row r="377" spans="1:16" s="29" customFormat="1" ht="25.5" x14ac:dyDescent="0.2">
      <c r="A377" s="31" t="s">
        <v>77</v>
      </c>
      <c r="B377" s="26">
        <v>915</v>
      </c>
      <c r="C377" s="27" t="s">
        <v>52</v>
      </c>
      <c r="D377" s="27" t="s">
        <v>16</v>
      </c>
      <c r="E377" s="27" t="s">
        <v>119</v>
      </c>
      <c r="F377" s="30" t="s">
        <v>69</v>
      </c>
      <c r="G377" s="28">
        <f>38+400</f>
        <v>438</v>
      </c>
      <c r="H377" s="28">
        <f>38+400</f>
        <v>438</v>
      </c>
      <c r="I377" s="28">
        <f>38+400</f>
        <v>438</v>
      </c>
      <c r="J377" s="21"/>
      <c r="K377" s="21"/>
      <c r="L377" s="21"/>
      <c r="M377" s="21"/>
      <c r="N377" s="21"/>
    </row>
    <row r="378" spans="1:16" s="29" customFormat="1" x14ac:dyDescent="0.2">
      <c r="A378" s="31" t="s">
        <v>70</v>
      </c>
      <c r="B378" s="35">
        <v>915</v>
      </c>
      <c r="C378" s="27" t="s">
        <v>52</v>
      </c>
      <c r="D378" s="27" t="s">
        <v>16</v>
      </c>
      <c r="E378" s="27" t="s">
        <v>119</v>
      </c>
      <c r="F378" s="27" t="s">
        <v>71</v>
      </c>
      <c r="G378" s="28">
        <f>91789</f>
        <v>91789</v>
      </c>
      <c r="H378" s="28">
        <f>91789</f>
        <v>91789</v>
      </c>
      <c r="I378" s="28">
        <f>91789</f>
        <v>91789</v>
      </c>
      <c r="J378" s="21"/>
      <c r="K378" s="21"/>
      <c r="L378" s="21"/>
      <c r="M378" s="21"/>
      <c r="N378" s="21"/>
      <c r="O378" s="21"/>
      <c r="P378" s="21"/>
    </row>
    <row r="379" spans="1:16" ht="114.75" x14ac:dyDescent="0.2">
      <c r="A379" s="18" t="s">
        <v>384</v>
      </c>
      <c r="B379" s="22">
        <v>915</v>
      </c>
      <c r="C379" s="19" t="s">
        <v>52</v>
      </c>
      <c r="D379" s="19" t="s">
        <v>16</v>
      </c>
      <c r="E379" s="19" t="s">
        <v>126</v>
      </c>
      <c r="F379" s="19"/>
      <c r="G379" s="20">
        <f>G380</f>
        <v>1.2</v>
      </c>
      <c r="H379" s="20">
        <f>H380</f>
        <v>1.2</v>
      </c>
      <c r="I379" s="20">
        <f>I380</f>
        <v>1.2</v>
      </c>
      <c r="J379" s="29"/>
      <c r="K379" s="29"/>
      <c r="L379" s="29"/>
      <c r="M379" s="29"/>
      <c r="N379" s="29"/>
      <c r="O379" s="29"/>
      <c r="P379" s="29"/>
    </row>
    <row r="380" spans="1:16" s="29" customFormat="1" x14ac:dyDescent="0.2">
      <c r="A380" s="31" t="s">
        <v>70</v>
      </c>
      <c r="B380" s="35">
        <v>915</v>
      </c>
      <c r="C380" s="27" t="s">
        <v>52</v>
      </c>
      <c r="D380" s="27" t="s">
        <v>16</v>
      </c>
      <c r="E380" s="27" t="s">
        <v>126</v>
      </c>
      <c r="F380" s="27" t="s">
        <v>71</v>
      </c>
      <c r="G380" s="28">
        <f>1.2</f>
        <v>1.2</v>
      </c>
      <c r="H380" s="28">
        <v>1.2</v>
      </c>
      <c r="I380" s="28">
        <v>1.2</v>
      </c>
    </row>
    <row r="381" spans="1:16" ht="76.5" x14ac:dyDescent="0.2">
      <c r="A381" s="18" t="s">
        <v>385</v>
      </c>
      <c r="B381" s="22">
        <v>915</v>
      </c>
      <c r="C381" s="19" t="s">
        <v>52</v>
      </c>
      <c r="D381" s="19" t="s">
        <v>16</v>
      </c>
      <c r="E381" s="19" t="s">
        <v>132</v>
      </c>
      <c r="F381" s="19"/>
      <c r="G381" s="20">
        <f>G382</f>
        <v>34</v>
      </c>
      <c r="H381" s="20">
        <f>H382</f>
        <v>34</v>
      </c>
      <c r="I381" s="20">
        <f>I382</f>
        <v>34</v>
      </c>
    </row>
    <row r="382" spans="1:16" s="29" customFormat="1" ht="63.75" x14ac:dyDescent="0.2">
      <c r="A382" s="34" t="s">
        <v>67</v>
      </c>
      <c r="B382" s="35">
        <v>915</v>
      </c>
      <c r="C382" s="27" t="s">
        <v>52</v>
      </c>
      <c r="D382" s="27" t="s">
        <v>16</v>
      </c>
      <c r="E382" s="27" t="s">
        <v>132</v>
      </c>
      <c r="F382" s="27" t="s">
        <v>68</v>
      </c>
      <c r="G382" s="28">
        <f>34</f>
        <v>34</v>
      </c>
      <c r="H382" s="28">
        <f>34</f>
        <v>34</v>
      </c>
      <c r="I382" s="28">
        <f>34</f>
        <v>34</v>
      </c>
    </row>
    <row r="383" spans="1:16" ht="63.75" x14ac:dyDescent="0.2">
      <c r="A383" s="18" t="s">
        <v>386</v>
      </c>
      <c r="B383" s="22">
        <v>915</v>
      </c>
      <c r="C383" s="19" t="s">
        <v>52</v>
      </c>
      <c r="D383" s="19" t="s">
        <v>16</v>
      </c>
      <c r="E383" s="19" t="s">
        <v>123</v>
      </c>
      <c r="F383" s="19"/>
      <c r="G383" s="20">
        <f>G385+G384</f>
        <v>3440</v>
      </c>
      <c r="H383" s="20">
        <f>H385+H384</f>
        <v>3440</v>
      </c>
      <c r="I383" s="20">
        <f>I385+I384</f>
        <v>3440</v>
      </c>
      <c r="O383" s="29"/>
      <c r="P383" s="29"/>
    </row>
    <row r="384" spans="1:16" s="29" customFormat="1" ht="25.5" x14ac:dyDescent="0.2">
      <c r="A384" s="31" t="s">
        <v>77</v>
      </c>
      <c r="B384" s="26">
        <v>915</v>
      </c>
      <c r="C384" s="27" t="s">
        <v>52</v>
      </c>
      <c r="D384" s="27" t="s">
        <v>16</v>
      </c>
      <c r="E384" s="27" t="s">
        <v>123</v>
      </c>
      <c r="F384" s="30" t="s">
        <v>69</v>
      </c>
      <c r="G384" s="28">
        <v>2</v>
      </c>
      <c r="H384" s="28">
        <v>2</v>
      </c>
      <c r="I384" s="28">
        <v>2</v>
      </c>
      <c r="J384" s="21"/>
      <c r="K384" s="21"/>
      <c r="L384" s="21"/>
      <c r="M384" s="21"/>
      <c r="N384" s="21"/>
      <c r="O384" s="21"/>
      <c r="P384" s="21"/>
    </row>
    <row r="385" spans="1:16" s="29" customFormat="1" x14ac:dyDescent="0.2">
      <c r="A385" s="31" t="s">
        <v>70</v>
      </c>
      <c r="B385" s="35">
        <v>915</v>
      </c>
      <c r="C385" s="27" t="s">
        <v>52</v>
      </c>
      <c r="D385" s="27" t="s">
        <v>16</v>
      </c>
      <c r="E385" s="27" t="s">
        <v>123</v>
      </c>
      <c r="F385" s="27" t="s">
        <v>71</v>
      </c>
      <c r="G385" s="28">
        <v>3438</v>
      </c>
      <c r="H385" s="28">
        <v>3438</v>
      </c>
      <c r="I385" s="28">
        <v>3438</v>
      </c>
    </row>
    <row r="386" spans="1:16" ht="38.25" x14ac:dyDescent="0.2">
      <c r="A386" s="18" t="s">
        <v>387</v>
      </c>
      <c r="B386" s="22">
        <v>915</v>
      </c>
      <c r="C386" s="19" t="s">
        <v>52</v>
      </c>
      <c r="D386" s="19" t="s">
        <v>16</v>
      </c>
      <c r="E386" s="19" t="s">
        <v>129</v>
      </c>
      <c r="F386" s="19"/>
      <c r="G386" s="20">
        <f>G388+G387</f>
        <v>23947</v>
      </c>
      <c r="H386" s="20">
        <f>H388+H387</f>
        <v>23651</v>
      </c>
      <c r="I386" s="20">
        <f>I388+I387</f>
        <v>23355</v>
      </c>
      <c r="J386" s="29"/>
      <c r="K386" s="29"/>
      <c r="L386" s="29"/>
      <c r="M386" s="29"/>
      <c r="N386" s="29"/>
      <c r="O386" s="29"/>
      <c r="P386" s="29"/>
    </row>
    <row r="387" spans="1:16" s="29" customFormat="1" ht="25.5" x14ac:dyDescent="0.2">
      <c r="A387" s="31" t="s">
        <v>77</v>
      </c>
      <c r="B387" s="26">
        <v>915</v>
      </c>
      <c r="C387" s="27" t="s">
        <v>52</v>
      </c>
      <c r="D387" s="27" t="s">
        <v>16</v>
      </c>
      <c r="E387" s="27" t="s">
        <v>129</v>
      </c>
      <c r="F387" s="30" t="s">
        <v>69</v>
      </c>
      <c r="G387" s="28">
        <f>315+45</f>
        <v>360</v>
      </c>
      <c r="H387" s="28">
        <f>315+45</f>
        <v>360</v>
      </c>
      <c r="I387" s="28">
        <f>315+45</f>
        <v>360</v>
      </c>
      <c r="J387" s="21"/>
      <c r="K387" s="21"/>
      <c r="L387" s="21"/>
      <c r="M387" s="21"/>
      <c r="N387" s="21"/>
      <c r="O387" s="21"/>
      <c r="P387" s="21"/>
    </row>
    <row r="388" spans="1:16" s="29" customFormat="1" x14ac:dyDescent="0.2">
      <c r="A388" s="31" t="s">
        <v>70</v>
      </c>
      <c r="B388" s="35">
        <v>915</v>
      </c>
      <c r="C388" s="27" t="s">
        <v>52</v>
      </c>
      <c r="D388" s="27" t="s">
        <v>16</v>
      </c>
      <c r="E388" s="27" t="s">
        <v>129</v>
      </c>
      <c r="F388" s="27" t="s">
        <v>71</v>
      </c>
      <c r="G388" s="28">
        <f>23587</f>
        <v>23587</v>
      </c>
      <c r="H388" s="28">
        <f>23291</f>
        <v>23291</v>
      </c>
      <c r="I388" s="28">
        <f>22995</f>
        <v>22995</v>
      </c>
    </row>
    <row r="389" spans="1:16" ht="51" x14ac:dyDescent="0.2">
      <c r="A389" s="18" t="s">
        <v>388</v>
      </c>
      <c r="B389" s="22">
        <v>915</v>
      </c>
      <c r="C389" s="19" t="s">
        <v>52</v>
      </c>
      <c r="D389" s="19" t="s">
        <v>16</v>
      </c>
      <c r="E389" s="19" t="s">
        <v>124</v>
      </c>
      <c r="F389" s="19"/>
      <c r="G389" s="20">
        <f>G391+G390</f>
        <v>104</v>
      </c>
      <c r="H389" s="20">
        <f>H391+H390</f>
        <v>104</v>
      </c>
      <c r="I389" s="20">
        <f>I391+I390</f>
        <v>104</v>
      </c>
      <c r="O389" s="29"/>
      <c r="P389" s="29"/>
    </row>
    <row r="390" spans="1:16" s="29" customFormat="1" ht="25.5" x14ac:dyDescent="0.2">
      <c r="A390" s="31" t="s">
        <v>77</v>
      </c>
      <c r="B390" s="26">
        <v>915</v>
      </c>
      <c r="C390" s="27" t="s">
        <v>52</v>
      </c>
      <c r="D390" s="27" t="s">
        <v>16</v>
      </c>
      <c r="E390" s="27" t="s">
        <v>124</v>
      </c>
      <c r="F390" s="30" t="s">
        <v>69</v>
      </c>
      <c r="G390" s="28">
        <f>1.3+0.3</f>
        <v>1.6</v>
      </c>
      <c r="H390" s="28">
        <f>1.3+0.3</f>
        <v>1.6</v>
      </c>
      <c r="I390" s="28">
        <f>1.3+0.3</f>
        <v>1.6</v>
      </c>
      <c r="J390" s="21"/>
      <c r="K390" s="21"/>
      <c r="L390" s="21"/>
      <c r="M390" s="21"/>
      <c r="N390" s="21"/>
      <c r="O390" s="21"/>
      <c r="P390" s="21"/>
    </row>
    <row r="391" spans="1:16" s="29" customFormat="1" x14ac:dyDescent="0.2">
      <c r="A391" s="31" t="s">
        <v>70</v>
      </c>
      <c r="B391" s="35">
        <v>915</v>
      </c>
      <c r="C391" s="27" t="s">
        <v>52</v>
      </c>
      <c r="D391" s="27" t="s">
        <v>16</v>
      </c>
      <c r="E391" s="27" t="s">
        <v>124</v>
      </c>
      <c r="F391" s="27" t="s">
        <v>71</v>
      </c>
      <c r="G391" s="28">
        <f>102.4</f>
        <v>102.4</v>
      </c>
      <c r="H391" s="28">
        <f>102.4</f>
        <v>102.4</v>
      </c>
      <c r="I391" s="28">
        <f>102.4</f>
        <v>102.4</v>
      </c>
    </row>
    <row r="392" spans="1:16" ht="76.5" x14ac:dyDescent="0.2">
      <c r="A392" s="18" t="s">
        <v>389</v>
      </c>
      <c r="B392" s="22">
        <v>915</v>
      </c>
      <c r="C392" s="19" t="s">
        <v>52</v>
      </c>
      <c r="D392" s="19" t="s">
        <v>16</v>
      </c>
      <c r="E392" s="19" t="s">
        <v>127</v>
      </c>
      <c r="F392" s="19"/>
      <c r="G392" s="20">
        <f>G394+G393</f>
        <v>857</v>
      </c>
      <c r="H392" s="20">
        <f>H394+H393</f>
        <v>857</v>
      </c>
      <c r="I392" s="20">
        <f>I394+I393</f>
        <v>857</v>
      </c>
      <c r="O392" s="29"/>
      <c r="P392" s="29"/>
    </row>
    <row r="393" spans="1:16" s="29" customFormat="1" ht="25.5" x14ac:dyDescent="0.2">
      <c r="A393" s="31" t="s">
        <v>77</v>
      </c>
      <c r="B393" s="26">
        <v>915</v>
      </c>
      <c r="C393" s="27" t="s">
        <v>52</v>
      </c>
      <c r="D393" s="27" t="s">
        <v>16</v>
      </c>
      <c r="E393" s="27" t="s">
        <v>127</v>
      </c>
      <c r="F393" s="30" t="s">
        <v>69</v>
      </c>
      <c r="G393" s="28">
        <f>3.9</f>
        <v>3.9</v>
      </c>
      <c r="H393" s="28">
        <f>3.9</f>
        <v>3.9</v>
      </c>
      <c r="I393" s="28">
        <f>3.9</f>
        <v>3.9</v>
      </c>
      <c r="J393" s="21"/>
      <c r="K393" s="21"/>
      <c r="L393" s="21"/>
      <c r="M393" s="21"/>
      <c r="N393" s="21"/>
      <c r="O393" s="21"/>
      <c r="P393" s="21"/>
    </row>
    <row r="394" spans="1:16" s="29" customFormat="1" x14ac:dyDescent="0.2">
      <c r="A394" s="31" t="s">
        <v>70</v>
      </c>
      <c r="B394" s="35">
        <v>915</v>
      </c>
      <c r="C394" s="27" t="s">
        <v>52</v>
      </c>
      <c r="D394" s="27" t="s">
        <v>16</v>
      </c>
      <c r="E394" s="27" t="s">
        <v>127</v>
      </c>
      <c r="F394" s="27" t="s">
        <v>71</v>
      </c>
      <c r="G394" s="28">
        <f>853.1</f>
        <v>853.1</v>
      </c>
      <c r="H394" s="28">
        <f>853.1</f>
        <v>853.1</v>
      </c>
      <c r="I394" s="28">
        <f>853.1</f>
        <v>853.1</v>
      </c>
    </row>
    <row r="395" spans="1:16" ht="51" x14ac:dyDescent="0.2">
      <c r="A395" s="18" t="s">
        <v>390</v>
      </c>
      <c r="B395" s="22">
        <v>915</v>
      </c>
      <c r="C395" s="19" t="s">
        <v>52</v>
      </c>
      <c r="D395" s="19" t="s">
        <v>16</v>
      </c>
      <c r="E395" s="19" t="s">
        <v>128</v>
      </c>
      <c r="F395" s="19"/>
      <c r="G395" s="20">
        <f>G397+G396</f>
        <v>284</v>
      </c>
      <c r="H395" s="20">
        <f>H397+H396</f>
        <v>284</v>
      </c>
      <c r="I395" s="20">
        <f>I397+I396</f>
        <v>284</v>
      </c>
      <c r="O395" s="29"/>
      <c r="P395" s="29"/>
    </row>
    <row r="396" spans="1:16" s="29" customFormat="1" ht="25.5" x14ac:dyDescent="0.2">
      <c r="A396" s="31" t="s">
        <v>77</v>
      </c>
      <c r="B396" s="26">
        <v>915</v>
      </c>
      <c r="C396" s="27" t="s">
        <v>52</v>
      </c>
      <c r="D396" s="27" t="s">
        <v>16</v>
      </c>
      <c r="E396" s="27" t="s">
        <v>128</v>
      </c>
      <c r="F396" s="30" t="s">
        <v>69</v>
      </c>
      <c r="G396" s="28">
        <f>5.3+0.4</f>
        <v>5.7</v>
      </c>
      <c r="H396" s="28">
        <f>5.3+0.4</f>
        <v>5.7</v>
      </c>
      <c r="I396" s="28">
        <f>5.3+0.4</f>
        <v>5.7</v>
      </c>
      <c r="J396" s="21"/>
      <c r="K396" s="21"/>
      <c r="L396" s="21"/>
      <c r="M396" s="21"/>
      <c r="N396" s="21"/>
      <c r="O396" s="21"/>
      <c r="P396" s="21"/>
    </row>
    <row r="397" spans="1:16" s="29" customFormat="1" x14ac:dyDescent="0.2">
      <c r="A397" s="31" t="s">
        <v>70</v>
      </c>
      <c r="B397" s="35">
        <v>915</v>
      </c>
      <c r="C397" s="27" t="s">
        <v>52</v>
      </c>
      <c r="D397" s="27" t="s">
        <v>16</v>
      </c>
      <c r="E397" s="27" t="s">
        <v>128</v>
      </c>
      <c r="F397" s="27" t="s">
        <v>71</v>
      </c>
      <c r="G397" s="28">
        <f>278.3</f>
        <v>278.3</v>
      </c>
      <c r="H397" s="28">
        <f>278.3</f>
        <v>278.3</v>
      </c>
      <c r="I397" s="28">
        <f>278.3</f>
        <v>278.3</v>
      </c>
    </row>
    <row r="398" spans="1:16" ht="102" x14ac:dyDescent="0.2">
      <c r="A398" s="18" t="s">
        <v>391</v>
      </c>
      <c r="B398" s="22">
        <v>915</v>
      </c>
      <c r="C398" s="19" t="s">
        <v>52</v>
      </c>
      <c r="D398" s="19" t="s">
        <v>16</v>
      </c>
      <c r="E398" s="19" t="s">
        <v>130</v>
      </c>
      <c r="F398" s="19"/>
      <c r="G398" s="20">
        <f>G400+G399</f>
        <v>87263</v>
      </c>
      <c r="H398" s="20">
        <f>H400+H399</f>
        <v>87263</v>
      </c>
      <c r="I398" s="20">
        <f>I400+I399</f>
        <v>87263</v>
      </c>
      <c r="O398" s="29"/>
      <c r="P398" s="29"/>
    </row>
    <row r="399" spans="1:16" s="29" customFormat="1" ht="25.5" x14ac:dyDescent="0.2">
      <c r="A399" s="31" t="s">
        <v>77</v>
      </c>
      <c r="B399" s="26">
        <v>915</v>
      </c>
      <c r="C399" s="27" t="s">
        <v>52</v>
      </c>
      <c r="D399" s="27" t="s">
        <v>16</v>
      </c>
      <c r="E399" s="27" t="s">
        <v>130</v>
      </c>
      <c r="F399" s="30" t="s">
        <v>69</v>
      </c>
      <c r="G399" s="28">
        <f>317+162+115+35+55+22+125+46+1+1.5</f>
        <v>879.5</v>
      </c>
      <c r="H399" s="28">
        <f>317+162+115+35+55+22+125+46+1+1.5</f>
        <v>879.5</v>
      </c>
      <c r="I399" s="28">
        <f>317+162+115+35+55+22+125+46+1+1.5</f>
        <v>879.5</v>
      </c>
      <c r="J399" s="9"/>
      <c r="K399" s="9"/>
      <c r="L399" s="9"/>
      <c r="M399" s="9"/>
      <c r="N399" s="9"/>
      <c r="O399" s="9"/>
      <c r="P399" s="9"/>
    </row>
    <row r="400" spans="1:16" s="29" customFormat="1" x14ac:dyDescent="0.2">
      <c r="A400" s="31" t="s">
        <v>70</v>
      </c>
      <c r="B400" s="35">
        <v>915</v>
      </c>
      <c r="C400" s="27" t="s">
        <v>52</v>
      </c>
      <c r="D400" s="27" t="s">
        <v>16</v>
      </c>
      <c r="E400" s="27" t="s">
        <v>130</v>
      </c>
      <c r="F400" s="27" t="s">
        <v>71</v>
      </c>
      <c r="G400" s="28">
        <f>49601.5+12870+7200+16500+212</f>
        <v>86383.5</v>
      </c>
      <c r="H400" s="28">
        <f>49601.5+12870+7200+16500+212</f>
        <v>86383.5</v>
      </c>
      <c r="I400" s="28">
        <f>49601.5+12870+7200+16500+212</f>
        <v>86383.5</v>
      </c>
      <c r="J400" s="21"/>
      <c r="K400" s="21"/>
      <c r="L400" s="21"/>
      <c r="M400" s="21"/>
      <c r="N400" s="21"/>
      <c r="O400" s="21"/>
      <c r="P400" s="21"/>
    </row>
    <row r="401" spans="1:16" ht="63.75" x14ac:dyDescent="0.2">
      <c r="A401" s="18" t="s">
        <v>392</v>
      </c>
      <c r="B401" s="22">
        <v>915</v>
      </c>
      <c r="C401" s="19" t="s">
        <v>52</v>
      </c>
      <c r="D401" s="19" t="s">
        <v>16</v>
      </c>
      <c r="E401" s="19" t="s">
        <v>104</v>
      </c>
      <c r="F401" s="19"/>
      <c r="G401" s="20">
        <f>G403+G402</f>
        <v>1132</v>
      </c>
      <c r="H401" s="20">
        <f>H403+H402</f>
        <v>1132</v>
      </c>
      <c r="I401" s="20">
        <f>I403+I402</f>
        <v>1132</v>
      </c>
      <c r="O401" s="29"/>
      <c r="P401" s="29"/>
    </row>
    <row r="402" spans="1:16" s="29" customFormat="1" ht="25.5" x14ac:dyDescent="0.2">
      <c r="A402" s="31" t="s">
        <v>77</v>
      </c>
      <c r="B402" s="26">
        <v>915</v>
      </c>
      <c r="C402" s="27" t="s">
        <v>52</v>
      </c>
      <c r="D402" s="27" t="s">
        <v>16</v>
      </c>
      <c r="E402" s="27" t="s">
        <v>104</v>
      </c>
      <c r="F402" s="30" t="s">
        <v>69</v>
      </c>
      <c r="G402" s="28">
        <f>23</f>
        <v>23</v>
      </c>
      <c r="H402" s="28">
        <f>23</f>
        <v>23</v>
      </c>
      <c r="I402" s="28">
        <f>23</f>
        <v>23</v>
      </c>
      <c r="J402" s="21"/>
      <c r="K402" s="21"/>
      <c r="L402" s="21"/>
      <c r="M402" s="21"/>
      <c r="N402" s="21"/>
      <c r="O402" s="21"/>
      <c r="P402" s="21"/>
    </row>
    <row r="403" spans="1:16" s="29" customFormat="1" x14ac:dyDescent="0.2">
      <c r="A403" s="31" t="s">
        <v>70</v>
      </c>
      <c r="B403" s="35">
        <v>915</v>
      </c>
      <c r="C403" s="27" t="s">
        <v>52</v>
      </c>
      <c r="D403" s="27" t="s">
        <v>16</v>
      </c>
      <c r="E403" s="27" t="s">
        <v>104</v>
      </c>
      <c r="F403" s="27" t="s">
        <v>71</v>
      </c>
      <c r="G403" s="28">
        <f>1109</f>
        <v>1109</v>
      </c>
      <c r="H403" s="28">
        <f>1109</f>
        <v>1109</v>
      </c>
      <c r="I403" s="28">
        <f>1109</f>
        <v>1109</v>
      </c>
    </row>
    <row r="404" spans="1:16" s="9" customFormat="1" x14ac:dyDescent="0.2">
      <c r="A404" s="11" t="s">
        <v>57</v>
      </c>
      <c r="B404" s="14">
        <v>915</v>
      </c>
      <c r="C404" s="8" t="s">
        <v>52</v>
      </c>
      <c r="D404" s="8" t="s">
        <v>18</v>
      </c>
      <c r="E404" s="8"/>
      <c r="F404" s="8"/>
      <c r="G404" s="4">
        <f>G405+G410+G413+G407</f>
        <v>116267</v>
      </c>
      <c r="H404" s="4">
        <f>H405+H410+H413+H407</f>
        <v>116950</v>
      </c>
      <c r="I404" s="4">
        <f>I405+I410+I413+I407</f>
        <v>112735</v>
      </c>
      <c r="J404" s="21"/>
      <c r="K404" s="21"/>
      <c r="L404" s="21"/>
      <c r="M404" s="21"/>
      <c r="N404" s="21"/>
      <c r="O404" s="21"/>
      <c r="P404" s="21"/>
    </row>
    <row r="405" spans="1:16" ht="89.25" x14ac:dyDescent="0.2">
      <c r="A405" s="18" t="s">
        <v>393</v>
      </c>
      <c r="B405" s="22">
        <v>915</v>
      </c>
      <c r="C405" s="19" t="s">
        <v>52</v>
      </c>
      <c r="D405" s="19" t="s">
        <v>18</v>
      </c>
      <c r="E405" s="19" t="s">
        <v>114</v>
      </c>
      <c r="F405" s="19"/>
      <c r="G405" s="20">
        <f>G406</f>
        <v>736</v>
      </c>
      <c r="H405" s="20">
        <f>H406</f>
        <v>770</v>
      </c>
      <c r="I405" s="20">
        <f>I406</f>
        <v>801</v>
      </c>
      <c r="J405" s="9"/>
      <c r="K405" s="9"/>
      <c r="L405" s="9"/>
      <c r="M405" s="9"/>
      <c r="N405" s="9"/>
      <c r="O405" s="9"/>
      <c r="P405" s="9"/>
    </row>
    <row r="406" spans="1:16" s="29" customFormat="1" x14ac:dyDescent="0.2">
      <c r="A406" s="31" t="s">
        <v>70</v>
      </c>
      <c r="B406" s="35">
        <v>915</v>
      </c>
      <c r="C406" s="27" t="s">
        <v>52</v>
      </c>
      <c r="D406" s="27" t="s">
        <v>18</v>
      </c>
      <c r="E406" s="27" t="s">
        <v>114</v>
      </c>
      <c r="F406" s="27" t="s">
        <v>71</v>
      </c>
      <c r="G406" s="28">
        <f>736</f>
        <v>736</v>
      </c>
      <c r="H406" s="28">
        <f>770</f>
        <v>770</v>
      </c>
      <c r="I406" s="28">
        <f>801</f>
        <v>801</v>
      </c>
      <c r="J406" s="21"/>
      <c r="K406" s="21"/>
      <c r="L406" s="21"/>
      <c r="M406" s="21"/>
      <c r="N406" s="21"/>
      <c r="O406" s="21"/>
      <c r="P406" s="21"/>
    </row>
    <row r="407" spans="1:16" ht="102" x14ac:dyDescent="0.2">
      <c r="A407" s="18" t="s">
        <v>394</v>
      </c>
      <c r="B407" s="22">
        <v>915</v>
      </c>
      <c r="C407" s="19" t="s">
        <v>52</v>
      </c>
      <c r="D407" s="19" t="s">
        <v>18</v>
      </c>
      <c r="E407" s="19" t="s">
        <v>118</v>
      </c>
      <c r="F407" s="19"/>
      <c r="G407" s="20">
        <f>G409+G408</f>
        <v>54334</v>
      </c>
      <c r="H407" s="20">
        <f>H409+H408</f>
        <v>54589</v>
      </c>
      <c r="I407" s="20">
        <f>I409+I408</f>
        <v>54439</v>
      </c>
      <c r="O407" s="29"/>
      <c r="P407" s="29"/>
    </row>
    <row r="408" spans="1:16" s="29" customFormat="1" ht="25.5" x14ac:dyDescent="0.2">
      <c r="A408" s="31" t="s">
        <v>77</v>
      </c>
      <c r="B408" s="26">
        <v>915</v>
      </c>
      <c r="C408" s="27" t="s">
        <v>52</v>
      </c>
      <c r="D408" s="27" t="s">
        <v>18</v>
      </c>
      <c r="E408" s="19" t="s">
        <v>118</v>
      </c>
      <c r="F408" s="30" t="s">
        <v>69</v>
      </c>
      <c r="G408" s="28">
        <v>2</v>
      </c>
      <c r="H408" s="28">
        <v>2</v>
      </c>
      <c r="I408" s="28">
        <v>2</v>
      </c>
      <c r="J408" s="21"/>
      <c r="K408" s="21"/>
      <c r="L408" s="21"/>
      <c r="M408" s="21"/>
      <c r="N408" s="21"/>
      <c r="O408" s="21"/>
      <c r="P408" s="21"/>
    </row>
    <row r="409" spans="1:16" s="29" customFormat="1" x14ac:dyDescent="0.2">
      <c r="A409" s="31" t="s">
        <v>70</v>
      </c>
      <c r="B409" s="35">
        <v>915</v>
      </c>
      <c r="C409" s="27" t="s">
        <v>52</v>
      </c>
      <c r="D409" s="27" t="s">
        <v>18</v>
      </c>
      <c r="E409" s="19" t="s">
        <v>118</v>
      </c>
      <c r="F409" s="27" t="s">
        <v>71</v>
      </c>
      <c r="G409" s="28">
        <f>54332</f>
        <v>54332</v>
      </c>
      <c r="H409" s="28">
        <f>54587</f>
        <v>54587</v>
      </c>
      <c r="I409" s="28">
        <f>54437</f>
        <v>54437</v>
      </c>
    </row>
    <row r="410" spans="1:16" ht="79.5" customHeight="1" x14ac:dyDescent="0.2">
      <c r="A410" s="68" t="s">
        <v>395</v>
      </c>
      <c r="B410" s="58">
        <v>915</v>
      </c>
      <c r="C410" s="19" t="s">
        <v>52</v>
      </c>
      <c r="D410" s="19" t="s">
        <v>18</v>
      </c>
      <c r="E410" s="19" t="s">
        <v>148</v>
      </c>
      <c r="F410" s="19"/>
      <c r="G410" s="20">
        <f>G412+G411</f>
        <v>30904</v>
      </c>
      <c r="H410" s="20">
        <f>H412+H411</f>
        <v>31298</v>
      </c>
      <c r="I410" s="20">
        <f>I412+I411</f>
        <v>27202</v>
      </c>
    </row>
    <row r="411" spans="1:16" s="29" customFormat="1" ht="25.5" x14ac:dyDescent="0.2">
      <c r="A411" s="31" t="s">
        <v>77</v>
      </c>
      <c r="B411" s="26">
        <v>915</v>
      </c>
      <c r="C411" s="27" t="s">
        <v>52</v>
      </c>
      <c r="D411" s="27" t="s">
        <v>18</v>
      </c>
      <c r="E411" s="27" t="s">
        <v>148</v>
      </c>
      <c r="F411" s="30" t="s">
        <v>69</v>
      </c>
      <c r="G411" s="28">
        <f>155</f>
        <v>155</v>
      </c>
      <c r="H411" s="28">
        <f>157</f>
        <v>157</v>
      </c>
      <c r="I411" s="28">
        <f>136</f>
        <v>136</v>
      </c>
      <c r="J411" s="21"/>
      <c r="K411" s="21"/>
      <c r="L411" s="21"/>
      <c r="M411" s="21"/>
      <c r="N411" s="21"/>
    </row>
    <row r="412" spans="1:16" x14ac:dyDescent="0.2">
      <c r="A412" s="31" t="s">
        <v>70</v>
      </c>
      <c r="B412" s="22">
        <v>915</v>
      </c>
      <c r="C412" s="27" t="s">
        <v>52</v>
      </c>
      <c r="D412" s="27" t="s">
        <v>18</v>
      </c>
      <c r="E412" s="27" t="s">
        <v>148</v>
      </c>
      <c r="F412" s="27" t="s">
        <v>71</v>
      </c>
      <c r="G412" s="28">
        <f>30749</f>
        <v>30749</v>
      </c>
      <c r="H412" s="28">
        <f>31141</f>
        <v>31141</v>
      </c>
      <c r="I412" s="28">
        <f>27066</f>
        <v>27066</v>
      </c>
    </row>
    <row r="413" spans="1:16" ht="51" x14ac:dyDescent="0.2">
      <c r="A413" s="18" t="s">
        <v>396</v>
      </c>
      <c r="B413" s="22">
        <v>915</v>
      </c>
      <c r="C413" s="19" t="s">
        <v>52</v>
      </c>
      <c r="D413" s="19" t="s">
        <v>18</v>
      </c>
      <c r="E413" s="19" t="s">
        <v>120</v>
      </c>
      <c r="F413" s="19"/>
      <c r="G413" s="20">
        <f>G415+G414</f>
        <v>30293</v>
      </c>
      <c r="H413" s="20">
        <f>H415+H414</f>
        <v>30293</v>
      </c>
      <c r="I413" s="20">
        <f>I415+I414</f>
        <v>30293</v>
      </c>
      <c r="O413" s="29"/>
      <c r="P413" s="29"/>
    </row>
    <row r="414" spans="1:16" s="29" customFormat="1" ht="25.5" x14ac:dyDescent="0.2">
      <c r="A414" s="31" t="s">
        <v>77</v>
      </c>
      <c r="B414" s="26">
        <v>915</v>
      </c>
      <c r="C414" s="27" t="s">
        <v>52</v>
      </c>
      <c r="D414" s="27" t="s">
        <v>18</v>
      </c>
      <c r="E414" s="27" t="s">
        <v>120</v>
      </c>
      <c r="F414" s="30" t="s">
        <v>69</v>
      </c>
      <c r="G414" s="28">
        <f>1</f>
        <v>1</v>
      </c>
      <c r="H414" s="28">
        <f>1</f>
        <v>1</v>
      </c>
      <c r="I414" s="28">
        <f>1</f>
        <v>1</v>
      </c>
      <c r="J414" s="21"/>
      <c r="K414" s="85"/>
      <c r="L414" s="85"/>
      <c r="M414" s="85"/>
      <c r="N414" s="21"/>
      <c r="O414" s="21"/>
      <c r="P414" s="21"/>
    </row>
    <row r="415" spans="1:16" s="29" customFormat="1" x14ac:dyDescent="0.2">
      <c r="A415" s="31" t="s">
        <v>70</v>
      </c>
      <c r="B415" s="35">
        <v>915</v>
      </c>
      <c r="C415" s="27" t="s">
        <v>52</v>
      </c>
      <c r="D415" s="27" t="s">
        <v>18</v>
      </c>
      <c r="E415" s="27" t="s">
        <v>120</v>
      </c>
      <c r="F415" s="27" t="s">
        <v>71</v>
      </c>
      <c r="G415" s="28">
        <f>30292</f>
        <v>30292</v>
      </c>
      <c r="H415" s="28">
        <f>30292</f>
        <v>30292</v>
      </c>
      <c r="I415" s="28">
        <f>30292</f>
        <v>30292</v>
      </c>
      <c r="K415" s="85"/>
      <c r="L415" s="85"/>
      <c r="M415" s="85"/>
    </row>
    <row r="416" spans="1:16" s="9" customFormat="1" x14ac:dyDescent="0.2">
      <c r="A416" s="11" t="s">
        <v>58</v>
      </c>
      <c r="B416" s="14">
        <v>915</v>
      </c>
      <c r="C416" s="8" t="s">
        <v>52</v>
      </c>
      <c r="D416" s="8" t="s">
        <v>51</v>
      </c>
      <c r="E416" s="8"/>
      <c r="F416" s="8"/>
      <c r="G416" s="4">
        <f>G417+G420+G424+G422+G428</f>
        <v>20985.8</v>
      </c>
      <c r="H416" s="4">
        <f t="shared" ref="H416:I416" si="55">H417+H420+H424+H422+H428</f>
        <v>20917.8</v>
      </c>
      <c r="I416" s="4">
        <f t="shared" si="55"/>
        <v>20902.8</v>
      </c>
      <c r="J416" s="21"/>
      <c r="K416" s="21"/>
      <c r="L416" s="21"/>
      <c r="M416" s="21"/>
      <c r="N416" s="21"/>
      <c r="O416" s="29"/>
      <c r="P416" s="29"/>
    </row>
    <row r="417" spans="1:16" x14ac:dyDescent="0.2">
      <c r="A417" s="18" t="s">
        <v>397</v>
      </c>
      <c r="B417" s="22">
        <v>915</v>
      </c>
      <c r="C417" s="19" t="s">
        <v>52</v>
      </c>
      <c r="D417" s="19" t="s">
        <v>51</v>
      </c>
      <c r="E417" s="19" t="s">
        <v>398</v>
      </c>
      <c r="F417" s="19"/>
      <c r="G417" s="20">
        <f>G418+G419</f>
        <v>801.8</v>
      </c>
      <c r="H417" s="20">
        <f t="shared" ref="H417:I417" si="56">H418+H419</f>
        <v>801.8</v>
      </c>
      <c r="I417" s="20">
        <f t="shared" si="56"/>
        <v>801.8</v>
      </c>
    </row>
    <row r="418" spans="1:16" s="29" customFormat="1" ht="25.5" x14ac:dyDescent="0.2">
      <c r="A418" s="31" t="s">
        <v>77</v>
      </c>
      <c r="B418" s="35">
        <v>915</v>
      </c>
      <c r="C418" s="27" t="s">
        <v>52</v>
      </c>
      <c r="D418" s="27" t="s">
        <v>51</v>
      </c>
      <c r="E418" s="27" t="s">
        <v>398</v>
      </c>
      <c r="F418" s="27" t="s">
        <v>69</v>
      </c>
      <c r="G418" s="28">
        <v>574.5</v>
      </c>
      <c r="H418" s="28">
        <v>574.5</v>
      </c>
      <c r="I418" s="28">
        <v>574.5</v>
      </c>
      <c r="J418" s="21"/>
      <c r="N418" s="21"/>
    </row>
    <row r="419" spans="1:16" x14ac:dyDescent="0.2">
      <c r="A419" s="31" t="s">
        <v>70</v>
      </c>
      <c r="B419" s="26">
        <v>915</v>
      </c>
      <c r="C419" s="27" t="s">
        <v>52</v>
      </c>
      <c r="D419" s="27" t="s">
        <v>51</v>
      </c>
      <c r="E419" s="27" t="s">
        <v>398</v>
      </c>
      <c r="F419" s="30" t="s">
        <v>71</v>
      </c>
      <c r="G419" s="28">
        <v>227.3</v>
      </c>
      <c r="H419" s="28">
        <v>227.3</v>
      </c>
      <c r="I419" s="28">
        <v>227.3</v>
      </c>
      <c r="O419" s="29"/>
      <c r="P419" s="29"/>
    </row>
    <row r="420" spans="1:16" x14ac:dyDescent="0.2">
      <c r="A420" s="18" t="s">
        <v>399</v>
      </c>
      <c r="B420" s="22">
        <v>915</v>
      </c>
      <c r="C420" s="19" t="s">
        <v>52</v>
      </c>
      <c r="D420" s="19" t="s">
        <v>51</v>
      </c>
      <c r="E420" s="19" t="s">
        <v>400</v>
      </c>
      <c r="F420" s="19"/>
      <c r="G420" s="20">
        <f>G421</f>
        <v>816</v>
      </c>
      <c r="H420" s="20">
        <f>H421</f>
        <v>816</v>
      </c>
      <c r="I420" s="20">
        <f>I421</f>
        <v>816</v>
      </c>
      <c r="O420" s="29"/>
      <c r="P420" s="29"/>
    </row>
    <row r="421" spans="1:16" s="29" customFormat="1" ht="25.5" x14ac:dyDescent="0.2">
      <c r="A421" s="31" t="s">
        <v>169</v>
      </c>
      <c r="B421" s="35">
        <v>915</v>
      </c>
      <c r="C421" s="27" t="s">
        <v>52</v>
      </c>
      <c r="D421" s="27" t="s">
        <v>51</v>
      </c>
      <c r="E421" s="27" t="s">
        <v>400</v>
      </c>
      <c r="F421" s="27" t="s">
        <v>66</v>
      </c>
      <c r="G421" s="28">
        <v>816</v>
      </c>
      <c r="H421" s="28">
        <v>816</v>
      </c>
      <c r="I421" s="28">
        <v>816</v>
      </c>
      <c r="J421" s="9"/>
      <c r="K421" s="9"/>
      <c r="L421" s="9"/>
      <c r="M421" s="9"/>
      <c r="N421" s="9"/>
      <c r="O421" s="9"/>
      <c r="P421" s="9"/>
    </row>
    <row r="422" spans="1:16" x14ac:dyDescent="0.2">
      <c r="A422" s="18"/>
      <c r="B422" s="22">
        <v>915</v>
      </c>
      <c r="C422" s="19" t="s">
        <v>52</v>
      </c>
      <c r="D422" s="19" t="s">
        <v>51</v>
      </c>
      <c r="E422" s="19" t="s">
        <v>449</v>
      </c>
      <c r="F422" s="19"/>
      <c r="G422" s="20">
        <f>G423</f>
        <v>360</v>
      </c>
      <c r="H422" s="20">
        <f t="shared" ref="H422:I422" si="57">H423</f>
        <v>360</v>
      </c>
      <c r="I422" s="20">
        <f t="shared" si="57"/>
        <v>360</v>
      </c>
    </row>
    <row r="423" spans="1:16" s="29" customFormat="1" ht="25.5" x14ac:dyDescent="0.2">
      <c r="A423" s="31" t="s">
        <v>77</v>
      </c>
      <c r="B423" s="35">
        <v>915</v>
      </c>
      <c r="C423" s="27" t="s">
        <v>52</v>
      </c>
      <c r="D423" s="27" t="s">
        <v>51</v>
      </c>
      <c r="E423" s="27" t="s">
        <v>449</v>
      </c>
      <c r="F423" s="27" t="s">
        <v>69</v>
      </c>
      <c r="G423" s="28">
        <v>360</v>
      </c>
      <c r="H423" s="28">
        <v>360</v>
      </c>
      <c r="I423" s="28">
        <v>360</v>
      </c>
      <c r="J423" s="21"/>
      <c r="N423" s="21"/>
    </row>
    <row r="424" spans="1:16" ht="38.25" x14ac:dyDescent="0.2">
      <c r="A424" s="18" t="s">
        <v>401</v>
      </c>
      <c r="B424" s="22">
        <v>915</v>
      </c>
      <c r="C424" s="19" t="s">
        <v>52</v>
      </c>
      <c r="D424" s="19" t="s">
        <v>51</v>
      </c>
      <c r="E424" s="19" t="s">
        <v>112</v>
      </c>
      <c r="F424" s="19"/>
      <c r="G424" s="20">
        <f>G425+G426+G427</f>
        <v>18908</v>
      </c>
      <c r="H424" s="20">
        <f>H425+H426+H427</f>
        <v>18840</v>
      </c>
      <c r="I424" s="20">
        <f>I425+I426+I427</f>
        <v>18825</v>
      </c>
      <c r="J424" s="3"/>
      <c r="K424" s="3"/>
      <c r="L424" s="3"/>
      <c r="M424" s="3"/>
      <c r="N424" s="3"/>
      <c r="O424" s="3"/>
      <c r="P424" s="3"/>
    </row>
    <row r="425" spans="1:16" s="29" customFormat="1" ht="63.75" x14ac:dyDescent="0.2">
      <c r="A425" s="26" t="s">
        <v>67</v>
      </c>
      <c r="B425" s="35">
        <v>915</v>
      </c>
      <c r="C425" s="27" t="s">
        <v>52</v>
      </c>
      <c r="D425" s="27" t="s">
        <v>51</v>
      </c>
      <c r="E425" s="27" t="s">
        <v>112</v>
      </c>
      <c r="F425" s="30" t="s">
        <v>68</v>
      </c>
      <c r="G425" s="28">
        <f>13667+4127+4.7</f>
        <v>17798.7</v>
      </c>
      <c r="H425" s="28">
        <f>13667+4127+4.7</f>
        <v>17798.7</v>
      </c>
      <c r="I425" s="28">
        <f>13667+4127+4.7</f>
        <v>17798.7</v>
      </c>
      <c r="J425" s="9"/>
      <c r="K425" s="9"/>
      <c r="L425" s="9"/>
      <c r="M425" s="9"/>
      <c r="N425" s="9"/>
      <c r="O425" s="9"/>
      <c r="P425" s="9"/>
    </row>
    <row r="426" spans="1:16" s="29" customFormat="1" ht="25.5" x14ac:dyDescent="0.2">
      <c r="A426" s="31" t="s">
        <v>77</v>
      </c>
      <c r="B426" s="35">
        <v>915</v>
      </c>
      <c r="C426" s="27" t="s">
        <v>52</v>
      </c>
      <c r="D426" s="27" t="s">
        <v>51</v>
      </c>
      <c r="E426" s="27" t="s">
        <v>112</v>
      </c>
      <c r="F426" s="30" t="s">
        <v>69</v>
      </c>
      <c r="G426" s="28">
        <f>310.4+794.9</f>
        <v>1105.3</v>
      </c>
      <c r="H426" s="28">
        <f>310.4+726.9</f>
        <v>1037.3</v>
      </c>
      <c r="I426" s="28">
        <f>310.4+711.9</f>
        <v>1022.3</v>
      </c>
      <c r="J426" s="7"/>
      <c r="K426" s="7"/>
      <c r="L426" s="7"/>
      <c r="M426" s="7"/>
      <c r="N426" s="7"/>
      <c r="O426" s="7"/>
      <c r="P426" s="7"/>
    </row>
    <row r="427" spans="1:16" s="29" customFormat="1" x14ac:dyDescent="0.2">
      <c r="A427" s="31" t="s">
        <v>73</v>
      </c>
      <c r="B427" s="35">
        <v>915</v>
      </c>
      <c r="C427" s="27" t="s">
        <v>52</v>
      </c>
      <c r="D427" s="27" t="s">
        <v>51</v>
      </c>
      <c r="E427" s="27" t="s">
        <v>112</v>
      </c>
      <c r="F427" s="27" t="s">
        <v>74</v>
      </c>
      <c r="G427" s="28">
        <f>4</f>
        <v>4</v>
      </c>
      <c r="H427" s="28">
        <f>4</f>
        <v>4</v>
      </c>
      <c r="I427" s="28">
        <f>4</f>
        <v>4</v>
      </c>
      <c r="J427" s="21"/>
      <c r="K427" s="21"/>
      <c r="L427" s="21"/>
      <c r="M427" s="21"/>
      <c r="N427" s="21"/>
    </row>
    <row r="428" spans="1:16" x14ac:dyDescent="0.2">
      <c r="A428" s="18" t="s">
        <v>249</v>
      </c>
      <c r="B428" s="18">
        <v>915</v>
      </c>
      <c r="C428" s="19" t="s">
        <v>52</v>
      </c>
      <c r="D428" s="19" t="s">
        <v>51</v>
      </c>
      <c r="E428" s="16" t="s">
        <v>250</v>
      </c>
      <c r="F428" s="19"/>
      <c r="G428" s="4">
        <f>G429+G430</f>
        <v>100</v>
      </c>
      <c r="H428" s="4">
        <f t="shared" ref="H428:I428" si="58">H429+H430</f>
        <v>100</v>
      </c>
      <c r="I428" s="4">
        <f t="shared" si="58"/>
        <v>100</v>
      </c>
    </row>
    <row r="429" spans="1:16" ht="25.5" x14ac:dyDescent="0.2">
      <c r="A429" s="31" t="s">
        <v>77</v>
      </c>
      <c r="B429" s="18">
        <v>915</v>
      </c>
      <c r="C429" s="27" t="s">
        <v>52</v>
      </c>
      <c r="D429" s="27" t="s">
        <v>51</v>
      </c>
      <c r="E429" s="27" t="s">
        <v>250</v>
      </c>
      <c r="F429" s="27" t="s">
        <v>69</v>
      </c>
      <c r="G429" s="20">
        <v>0.5</v>
      </c>
      <c r="H429" s="20">
        <v>0.5</v>
      </c>
      <c r="I429" s="20">
        <v>0.5</v>
      </c>
    </row>
    <row r="430" spans="1:16" x14ac:dyDescent="0.2">
      <c r="A430" s="31" t="s">
        <v>70</v>
      </c>
      <c r="B430" s="18">
        <v>915</v>
      </c>
      <c r="C430" s="27" t="s">
        <v>52</v>
      </c>
      <c r="D430" s="27" t="s">
        <v>51</v>
      </c>
      <c r="E430" s="27" t="s">
        <v>250</v>
      </c>
      <c r="F430" s="27" t="s">
        <v>71</v>
      </c>
      <c r="G430" s="20">
        <v>99.5</v>
      </c>
      <c r="H430" s="20">
        <v>99.5</v>
      </c>
      <c r="I430" s="20">
        <v>99.5</v>
      </c>
    </row>
    <row r="431" spans="1:16" s="9" customFormat="1" x14ac:dyDescent="0.2">
      <c r="A431" s="48" t="s">
        <v>48</v>
      </c>
      <c r="B431" s="45">
        <v>855</v>
      </c>
      <c r="C431" s="49"/>
      <c r="D431" s="49"/>
      <c r="E431" s="49"/>
      <c r="F431" s="49"/>
      <c r="G431" s="47">
        <f>G432+G441</f>
        <v>7532.5000000000009</v>
      </c>
      <c r="H431" s="47">
        <f>H432+H441</f>
        <v>26035.399999999998</v>
      </c>
      <c r="I431" s="47">
        <f>I432+I441</f>
        <v>46117.2</v>
      </c>
    </row>
    <row r="432" spans="1:16" s="3" customFormat="1" x14ac:dyDescent="0.2">
      <c r="A432" s="13" t="s">
        <v>61</v>
      </c>
      <c r="B432" s="50">
        <v>855</v>
      </c>
      <c r="C432" s="1" t="s">
        <v>12</v>
      </c>
      <c r="D432" s="1"/>
      <c r="E432" s="1"/>
      <c r="F432" s="1"/>
      <c r="G432" s="2">
        <f>G433+G436</f>
        <v>7532.5000000000009</v>
      </c>
      <c r="H432" s="2">
        <f>H433+H436</f>
        <v>7582.7</v>
      </c>
      <c r="I432" s="2">
        <f>I433+I436</f>
        <v>7582.7</v>
      </c>
      <c r="J432" s="21"/>
      <c r="K432" s="21"/>
      <c r="L432" s="21"/>
      <c r="M432" s="21"/>
      <c r="N432" s="21"/>
      <c r="O432" s="21"/>
      <c r="P432" s="21"/>
    </row>
    <row r="433" spans="1:16" s="9" customFormat="1" x14ac:dyDescent="0.2">
      <c r="A433" s="11" t="s">
        <v>22</v>
      </c>
      <c r="B433" s="14">
        <v>855</v>
      </c>
      <c r="C433" s="8" t="s">
        <v>12</v>
      </c>
      <c r="D433" s="8" t="s">
        <v>21</v>
      </c>
      <c r="E433" s="8"/>
      <c r="F433" s="8"/>
      <c r="G433" s="4">
        <f t="shared" ref="G433:I434" si="59">G434</f>
        <v>1024.8</v>
      </c>
      <c r="H433" s="4">
        <f t="shared" si="59"/>
        <v>1024.8</v>
      </c>
      <c r="I433" s="4">
        <f t="shared" si="59"/>
        <v>1024.8</v>
      </c>
      <c r="J433" s="29"/>
      <c r="K433" s="29"/>
      <c r="L433" s="29"/>
      <c r="M433" s="29"/>
      <c r="N433" s="29"/>
      <c r="O433" s="29"/>
      <c r="P433" s="29"/>
    </row>
    <row r="434" spans="1:16" s="7" customFormat="1" x14ac:dyDescent="0.2">
      <c r="A434" s="18" t="s">
        <v>402</v>
      </c>
      <c r="B434" s="69">
        <v>855</v>
      </c>
      <c r="C434" s="63" t="s">
        <v>12</v>
      </c>
      <c r="D434" s="63" t="s">
        <v>21</v>
      </c>
      <c r="E434" s="19" t="s">
        <v>404</v>
      </c>
      <c r="F434" s="19"/>
      <c r="G434" s="20">
        <f t="shared" si="59"/>
        <v>1024.8</v>
      </c>
      <c r="H434" s="20">
        <f t="shared" si="59"/>
        <v>1024.8</v>
      </c>
      <c r="I434" s="20">
        <f t="shared" si="59"/>
        <v>1024.8</v>
      </c>
      <c r="J434" s="21"/>
      <c r="K434" s="21"/>
      <c r="L434" s="21"/>
      <c r="M434" s="21"/>
      <c r="N434" s="21"/>
      <c r="O434" s="21"/>
      <c r="P434" s="21"/>
    </row>
    <row r="435" spans="1:16" s="29" customFormat="1" x14ac:dyDescent="0.2">
      <c r="A435" s="31" t="s">
        <v>73</v>
      </c>
      <c r="B435" s="35">
        <v>855</v>
      </c>
      <c r="C435" s="27" t="s">
        <v>12</v>
      </c>
      <c r="D435" s="27" t="s">
        <v>21</v>
      </c>
      <c r="E435" s="27" t="s">
        <v>404</v>
      </c>
      <c r="F435" s="27" t="s">
        <v>74</v>
      </c>
      <c r="G435" s="28">
        <f>1024.8</f>
        <v>1024.8</v>
      </c>
      <c r="H435" s="28">
        <f t="shared" ref="H435:I435" si="60">1024.8</f>
        <v>1024.8</v>
      </c>
      <c r="I435" s="28">
        <f t="shared" si="60"/>
        <v>1024.8</v>
      </c>
      <c r="J435" s="21"/>
      <c r="K435" s="21"/>
      <c r="L435" s="21"/>
      <c r="M435" s="21"/>
      <c r="N435" s="21"/>
    </row>
    <row r="436" spans="1:16" s="9" customFormat="1" x14ac:dyDescent="0.2">
      <c r="A436" s="11" t="s">
        <v>24</v>
      </c>
      <c r="B436" s="14">
        <v>855</v>
      </c>
      <c r="C436" s="8" t="s">
        <v>12</v>
      </c>
      <c r="D436" s="8" t="s">
        <v>62</v>
      </c>
      <c r="E436" s="8"/>
      <c r="F436" s="8"/>
      <c r="G436" s="4">
        <f>G437+G439</f>
        <v>6507.7000000000007</v>
      </c>
      <c r="H436" s="4">
        <f>H437+H439</f>
        <v>6557.9</v>
      </c>
      <c r="I436" s="4">
        <f>I437+I439</f>
        <v>6557.9</v>
      </c>
      <c r="J436" s="21"/>
      <c r="K436" s="21"/>
      <c r="L436" s="21"/>
      <c r="M436" s="21"/>
      <c r="N436" s="21"/>
      <c r="O436" s="21"/>
      <c r="P436" s="21"/>
    </row>
    <row r="437" spans="1:16" x14ac:dyDescent="0.2">
      <c r="A437" s="18" t="s">
        <v>313</v>
      </c>
      <c r="B437" s="22">
        <v>855</v>
      </c>
      <c r="C437" s="19" t="s">
        <v>12</v>
      </c>
      <c r="D437" s="19" t="s">
        <v>62</v>
      </c>
      <c r="E437" s="19" t="s">
        <v>312</v>
      </c>
      <c r="F437" s="19"/>
      <c r="G437" s="20">
        <f>G438</f>
        <v>1596.9</v>
      </c>
      <c r="H437" s="20">
        <f>H438</f>
        <v>1647.2</v>
      </c>
      <c r="I437" s="20">
        <f>I438</f>
        <v>1647.2</v>
      </c>
    </row>
    <row r="438" spans="1:16" s="29" customFormat="1" x14ac:dyDescent="0.2">
      <c r="A438" s="31" t="s">
        <v>70</v>
      </c>
      <c r="B438" s="35">
        <v>855</v>
      </c>
      <c r="C438" s="27" t="s">
        <v>12</v>
      </c>
      <c r="D438" s="27" t="s">
        <v>62</v>
      </c>
      <c r="E438" s="27" t="s">
        <v>312</v>
      </c>
      <c r="F438" s="27" t="s">
        <v>71</v>
      </c>
      <c r="G438" s="28">
        <f>1596.9</f>
        <v>1596.9</v>
      </c>
      <c r="H438" s="28">
        <f>1647.2</f>
        <v>1647.2</v>
      </c>
      <c r="I438" s="28">
        <f>1647.2</f>
        <v>1647.2</v>
      </c>
      <c r="J438" s="21"/>
      <c r="K438" s="21"/>
      <c r="L438" s="21"/>
      <c r="M438" s="21"/>
      <c r="N438" s="21"/>
      <c r="O438" s="21"/>
      <c r="P438" s="21"/>
    </row>
    <row r="439" spans="1:16" x14ac:dyDescent="0.2">
      <c r="A439" s="18" t="s">
        <v>403</v>
      </c>
      <c r="B439" s="22">
        <v>855</v>
      </c>
      <c r="C439" s="19" t="s">
        <v>12</v>
      </c>
      <c r="D439" s="19" t="s">
        <v>62</v>
      </c>
      <c r="E439" s="19" t="s">
        <v>405</v>
      </c>
      <c r="F439" s="19"/>
      <c r="G439" s="20">
        <f>G440</f>
        <v>4910.8</v>
      </c>
      <c r="H439" s="20">
        <f>H440</f>
        <v>4910.7</v>
      </c>
      <c r="I439" s="20">
        <f>I440</f>
        <v>4910.7</v>
      </c>
      <c r="O439" s="29"/>
      <c r="P439" s="29"/>
    </row>
    <row r="440" spans="1:16" s="29" customFormat="1" x14ac:dyDescent="0.2">
      <c r="A440" s="31" t="s">
        <v>73</v>
      </c>
      <c r="B440" s="35">
        <v>855</v>
      </c>
      <c r="C440" s="27" t="s">
        <v>12</v>
      </c>
      <c r="D440" s="27" t="s">
        <v>62</v>
      </c>
      <c r="E440" s="27" t="s">
        <v>405</v>
      </c>
      <c r="F440" s="27" t="s">
        <v>74</v>
      </c>
      <c r="G440" s="28">
        <f>4910.7+0.1</f>
        <v>4910.8</v>
      </c>
      <c r="H440" s="28">
        <f t="shared" ref="H440:I440" si="61">4910.7</f>
        <v>4910.7</v>
      </c>
      <c r="I440" s="28">
        <f t="shared" si="61"/>
        <v>4910.7</v>
      </c>
      <c r="J440" s="9"/>
      <c r="K440" s="9"/>
      <c r="L440" s="9"/>
      <c r="M440" s="9"/>
      <c r="N440" s="9"/>
      <c r="O440" s="9"/>
      <c r="P440" s="9"/>
    </row>
    <row r="441" spans="1:16" x14ac:dyDescent="0.2">
      <c r="A441" s="18" t="s">
        <v>454</v>
      </c>
      <c r="B441" s="22">
        <v>855</v>
      </c>
      <c r="C441" s="19" t="s">
        <v>455</v>
      </c>
      <c r="D441" s="19"/>
      <c r="E441" s="19"/>
      <c r="F441" s="19"/>
      <c r="G441" s="20"/>
      <c r="H441" s="20">
        <f t="shared" ref="H441:I443" si="62">H442</f>
        <v>18452.699999999997</v>
      </c>
      <c r="I441" s="20">
        <f t="shared" si="62"/>
        <v>38534.5</v>
      </c>
    </row>
    <row r="442" spans="1:16" x14ac:dyDescent="0.2">
      <c r="A442" s="18" t="s">
        <v>454</v>
      </c>
      <c r="B442" s="22">
        <v>855</v>
      </c>
      <c r="C442" s="19" t="s">
        <v>455</v>
      </c>
      <c r="D442" s="16" t="s">
        <v>455</v>
      </c>
      <c r="E442" s="19"/>
      <c r="F442" s="19"/>
      <c r="G442" s="20"/>
      <c r="H442" s="20">
        <f t="shared" si="62"/>
        <v>18452.699999999997</v>
      </c>
      <c r="I442" s="20">
        <f t="shared" si="62"/>
        <v>38534.5</v>
      </c>
    </row>
    <row r="443" spans="1:16" x14ac:dyDescent="0.2">
      <c r="A443" s="18" t="s">
        <v>454</v>
      </c>
      <c r="B443" s="22">
        <v>855</v>
      </c>
      <c r="C443" s="19" t="s">
        <v>455</v>
      </c>
      <c r="D443" s="19" t="s">
        <v>455</v>
      </c>
      <c r="E443" s="19" t="s">
        <v>462</v>
      </c>
      <c r="F443" s="19"/>
      <c r="G443" s="20"/>
      <c r="H443" s="20">
        <f t="shared" si="62"/>
        <v>18452.699999999997</v>
      </c>
      <c r="I443" s="20">
        <f t="shared" si="62"/>
        <v>38534.5</v>
      </c>
    </row>
    <row r="444" spans="1:16" s="29" customFormat="1" x14ac:dyDescent="0.2">
      <c r="A444" s="31" t="s">
        <v>73</v>
      </c>
      <c r="B444" s="35">
        <v>855</v>
      </c>
      <c r="C444" s="27" t="s">
        <v>455</v>
      </c>
      <c r="D444" s="27" t="s">
        <v>455</v>
      </c>
      <c r="E444" s="27" t="s">
        <v>462</v>
      </c>
      <c r="F444" s="27" t="s">
        <v>74</v>
      </c>
      <c r="G444" s="28"/>
      <c r="H444" s="28">
        <f>18452.6+0.1</f>
        <v>18452.699999999997</v>
      </c>
      <c r="I444" s="28">
        <f>38534.4+0.1</f>
        <v>38534.5</v>
      </c>
      <c r="K444" s="21"/>
      <c r="L444" s="21"/>
      <c r="M444" s="21"/>
      <c r="N444" s="21"/>
      <c r="O444" s="21"/>
      <c r="P444" s="21"/>
    </row>
    <row r="445" spans="1:16" s="9" customFormat="1" ht="38.25" x14ac:dyDescent="0.2">
      <c r="A445" s="48" t="s">
        <v>49</v>
      </c>
      <c r="B445" s="45">
        <v>919</v>
      </c>
      <c r="C445" s="49"/>
      <c r="D445" s="49"/>
      <c r="E445" s="49"/>
      <c r="F445" s="49"/>
      <c r="G445" s="47">
        <f>G450+G461+G504+G446</f>
        <v>281508.70000000007</v>
      </c>
      <c r="H445" s="47">
        <f>H450+H461+H504+H446</f>
        <v>207424.8</v>
      </c>
      <c r="I445" s="47">
        <f>I450+I461+I504+I446</f>
        <v>215415.9</v>
      </c>
    </row>
    <row r="446" spans="1:16" s="3" customFormat="1" ht="25.5" x14ac:dyDescent="0.2">
      <c r="A446" s="13" t="s">
        <v>5</v>
      </c>
      <c r="B446" s="50">
        <v>919</v>
      </c>
      <c r="C446" s="1" t="s">
        <v>16</v>
      </c>
      <c r="D446" s="1"/>
      <c r="E446" s="1"/>
      <c r="F446" s="1"/>
      <c r="G446" s="2">
        <f>G447</f>
        <v>1529.4</v>
      </c>
      <c r="H446" s="2">
        <f>H447</f>
        <v>1529.4</v>
      </c>
      <c r="I446" s="2">
        <f>I447</f>
        <v>1529.4</v>
      </c>
    </row>
    <row r="447" spans="1:16" s="9" customFormat="1" ht="38.25" x14ac:dyDescent="0.2">
      <c r="A447" s="11" t="s">
        <v>82</v>
      </c>
      <c r="B447" s="14">
        <v>919</v>
      </c>
      <c r="C447" s="8" t="s">
        <v>16</v>
      </c>
      <c r="D447" s="8" t="s">
        <v>26</v>
      </c>
      <c r="E447" s="8"/>
      <c r="F447" s="8"/>
      <c r="G447" s="4">
        <f>G448</f>
        <v>1529.4</v>
      </c>
      <c r="H447" s="4">
        <f t="shared" ref="H447:I447" si="63">H448</f>
        <v>1529.4</v>
      </c>
      <c r="I447" s="4">
        <f t="shared" si="63"/>
        <v>1529.4</v>
      </c>
    </row>
    <row r="448" spans="1:16" s="29" customFormat="1" x14ac:dyDescent="0.2">
      <c r="A448" s="74" t="s">
        <v>197</v>
      </c>
      <c r="B448" s="74">
        <v>919</v>
      </c>
      <c r="C448" s="19" t="s">
        <v>16</v>
      </c>
      <c r="D448" s="19" t="s">
        <v>26</v>
      </c>
      <c r="E448" s="19" t="s">
        <v>198</v>
      </c>
      <c r="F448" s="19"/>
      <c r="G448" s="20">
        <f>G449</f>
        <v>1529.4</v>
      </c>
      <c r="H448" s="20">
        <f>H449</f>
        <v>1529.4</v>
      </c>
      <c r="I448" s="20">
        <f>I449</f>
        <v>1529.4</v>
      </c>
    </row>
    <row r="449" spans="1:16" s="29" customFormat="1" ht="25.5" x14ac:dyDescent="0.2">
      <c r="A449" s="31" t="s">
        <v>169</v>
      </c>
      <c r="B449" s="26">
        <v>919</v>
      </c>
      <c r="C449" s="27" t="s">
        <v>16</v>
      </c>
      <c r="D449" s="27" t="s">
        <v>26</v>
      </c>
      <c r="E449" s="27" t="s">
        <v>198</v>
      </c>
      <c r="F449" s="30" t="s">
        <v>66</v>
      </c>
      <c r="G449" s="28">
        <f>1529.4</f>
        <v>1529.4</v>
      </c>
      <c r="H449" s="28">
        <f t="shared" ref="H449:I449" si="64">1529.4</f>
        <v>1529.4</v>
      </c>
      <c r="I449" s="28">
        <f t="shared" si="64"/>
        <v>1529.4</v>
      </c>
    </row>
    <row r="450" spans="1:16" s="3" customFormat="1" x14ac:dyDescent="0.2">
      <c r="A450" s="13" t="s">
        <v>27</v>
      </c>
      <c r="B450" s="50">
        <v>919</v>
      </c>
      <c r="C450" s="1" t="s">
        <v>18</v>
      </c>
      <c r="D450" s="1"/>
      <c r="E450" s="1"/>
      <c r="F450" s="1"/>
      <c r="G450" s="2">
        <f>G451+G454</f>
        <v>125206.8</v>
      </c>
      <c r="H450" s="2">
        <f>H451+H454</f>
        <v>121144.9</v>
      </c>
      <c r="I450" s="2">
        <f>I451+I454</f>
        <v>116673.4</v>
      </c>
      <c r="J450" s="21"/>
      <c r="K450" s="23"/>
      <c r="L450" s="23"/>
      <c r="M450" s="23"/>
      <c r="N450" s="21"/>
      <c r="O450" s="21"/>
      <c r="P450" s="21"/>
    </row>
    <row r="451" spans="1:16" s="9" customFormat="1" x14ac:dyDescent="0.2">
      <c r="A451" s="11" t="s">
        <v>28</v>
      </c>
      <c r="B451" s="14">
        <v>919</v>
      </c>
      <c r="C451" s="8" t="s">
        <v>18</v>
      </c>
      <c r="D451" s="8" t="s">
        <v>14</v>
      </c>
      <c r="E451" s="8"/>
      <c r="F451" s="8"/>
      <c r="G451" s="4">
        <f t="shared" ref="G451:I452" si="65">G452</f>
        <v>43251.3</v>
      </c>
      <c r="H451" s="4">
        <f t="shared" si="65"/>
        <v>39189.4</v>
      </c>
      <c r="I451" s="4">
        <f t="shared" si="65"/>
        <v>34717.9</v>
      </c>
      <c r="J451" s="29"/>
      <c r="K451" s="29"/>
      <c r="L451" s="29"/>
      <c r="M451" s="29"/>
      <c r="N451" s="29"/>
      <c r="O451" s="29"/>
      <c r="P451" s="29"/>
    </row>
    <row r="452" spans="1:16" ht="38.25" x14ac:dyDescent="0.2">
      <c r="A452" s="18" t="s">
        <v>407</v>
      </c>
      <c r="B452" s="22">
        <v>919</v>
      </c>
      <c r="C452" s="19" t="s">
        <v>18</v>
      </c>
      <c r="D452" s="19" t="s">
        <v>14</v>
      </c>
      <c r="E452" s="19" t="s">
        <v>406</v>
      </c>
      <c r="F452" s="19"/>
      <c r="G452" s="20">
        <f t="shared" si="65"/>
        <v>43251.3</v>
      </c>
      <c r="H452" s="20">
        <f t="shared" si="65"/>
        <v>39189.4</v>
      </c>
      <c r="I452" s="20">
        <f t="shared" si="65"/>
        <v>34717.9</v>
      </c>
      <c r="J452" s="3"/>
      <c r="K452" s="3"/>
      <c r="L452" s="3"/>
      <c r="M452" s="3"/>
      <c r="N452" s="3"/>
      <c r="O452" s="3"/>
      <c r="P452" s="3"/>
    </row>
    <row r="453" spans="1:16" s="29" customFormat="1" x14ac:dyDescent="0.2">
      <c r="A453" s="31" t="s">
        <v>73</v>
      </c>
      <c r="B453" s="35">
        <v>919</v>
      </c>
      <c r="C453" s="27" t="s">
        <v>18</v>
      </c>
      <c r="D453" s="27" t="s">
        <v>14</v>
      </c>
      <c r="E453" s="27" t="s">
        <v>406</v>
      </c>
      <c r="F453" s="27" t="s">
        <v>74</v>
      </c>
      <c r="G453" s="28">
        <f>43251.3</f>
        <v>43251.3</v>
      </c>
      <c r="H453" s="28">
        <f>43251.3-4061.9</f>
        <v>39189.4</v>
      </c>
      <c r="I453" s="28">
        <f>43251.3-8533.4</f>
        <v>34717.9</v>
      </c>
      <c r="J453" s="9"/>
      <c r="K453" s="9"/>
      <c r="L453" s="9"/>
      <c r="M453" s="9"/>
      <c r="N453" s="9"/>
      <c r="O453" s="9"/>
      <c r="P453" s="9"/>
    </row>
    <row r="454" spans="1:16" s="9" customFormat="1" x14ac:dyDescent="0.2">
      <c r="A454" s="11" t="s">
        <v>80</v>
      </c>
      <c r="B454" s="14">
        <v>919</v>
      </c>
      <c r="C454" s="8" t="s">
        <v>18</v>
      </c>
      <c r="D454" s="8" t="s">
        <v>26</v>
      </c>
      <c r="E454" s="8"/>
      <c r="F454" s="8"/>
      <c r="G454" s="4">
        <f>G459+G455+G457</f>
        <v>81955.5</v>
      </c>
      <c r="H454" s="4">
        <f>H459+H455+H457</f>
        <v>81955.5</v>
      </c>
      <c r="I454" s="4">
        <f>I459+I455+I457</f>
        <v>81955.5</v>
      </c>
      <c r="J454" s="21"/>
      <c r="K454" s="21"/>
      <c r="L454" s="21"/>
      <c r="M454" s="21"/>
      <c r="N454" s="21"/>
      <c r="O454" s="21"/>
      <c r="P454" s="21"/>
    </row>
    <row r="455" spans="1:16" ht="25.5" x14ac:dyDescent="0.2">
      <c r="A455" s="18" t="s">
        <v>409</v>
      </c>
      <c r="B455" s="22">
        <v>919</v>
      </c>
      <c r="C455" s="19" t="s">
        <v>18</v>
      </c>
      <c r="D455" s="19" t="s">
        <v>26</v>
      </c>
      <c r="E455" s="19" t="s">
        <v>408</v>
      </c>
      <c r="F455" s="19"/>
      <c r="G455" s="20">
        <f>G456</f>
        <v>75347.199999999997</v>
      </c>
      <c r="H455" s="20">
        <f>H456</f>
        <v>75347.199999999997</v>
      </c>
      <c r="I455" s="20">
        <f>I456</f>
        <v>75347.199999999997</v>
      </c>
      <c r="O455" s="29"/>
      <c r="P455" s="29"/>
    </row>
    <row r="456" spans="1:16" s="29" customFormat="1" ht="25.5" x14ac:dyDescent="0.2">
      <c r="A456" s="31" t="s">
        <v>169</v>
      </c>
      <c r="B456" s="35">
        <v>919</v>
      </c>
      <c r="C456" s="27" t="s">
        <v>18</v>
      </c>
      <c r="D456" s="27" t="s">
        <v>26</v>
      </c>
      <c r="E456" s="27" t="s">
        <v>408</v>
      </c>
      <c r="F456" s="27" t="s">
        <v>66</v>
      </c>
      <c r="G456" s="28">
        <v>75347.199999999997</v>
      </c>
      <c r="H456" s="28">
        <v>75347.199999999997</v>
      </c>
      <c r="I456" s="28">
        <v>75347.199999999997</v>
      </c>
      <c r="J456" s="21"/>
      <c r="K456" s="21"/>
      <c r="L456" s="21"/>
      <c r="M456" s="21"/>
      <c r="N456" s="21"/>
      <c r="O456" s="21"/>
      <c r="P456" s="21"/>
    </row>
    <row r="457" spans="1:16" ht="25.5" x14ac:dyDescent="0.2">
      <c r="A457" s="18" t="s">
        <v>411</v>
      </c>
      <c r="B457" s="18">
        <v>919</v>
      </c>
      <c r="C457" s="19" t="s">
        <v>18</v>
      </c>
      <c r="D457" s="19" t="s">
        <v>26</v>
      </c>
      <c r="E457" s="19" t="s">
        <v>410</v>
      </c>
      <c r="F457" s="19"/>
      <c r="G457" s="20">
        <f>G458</f>
        <v>6117</v>
      </c>
      <c r="H457" s="20">
        <f>H458</f>
        <v>6117</v>
      </c>
      <c r="I457" s="20">
        <f>I458</f>
        <v>6117</v>
      </c>
    </row>
    <row r="458" spans="1:16" ht="25.5" x14ac:dyDescent="0.2">
      <c r="A458" s="31" t="s">
        <v>169</v>
      </c>
      <c r="B458" s="31">
        <v>919</v>
      </c>
      <c r="C458" s="27" t="s">
        <v>18</v>
      </c>
      <c r="D458" s="27" t="s">
        <v>26</v>
      </c>
      <c r="E458" s="27" t="s">
        <v>410</v>
      </c>
      <c r="F458" s="27" t="s">
        <v>66</v>
      </c>
      <c r="G458" s="28">
        <v>6117</v>
      </c>
      <c r="H458" s="28">
        <v>6117</v>
      </c>
      <c r="I458" s="28">
        <v>6117</v>
      </c>
    </row>
    <row r="459" spans="1:16" ht="25.5" x14ac:dyDescent="0.2">
      <c r="A459" s="18" t="s">
        <v>413</v>
      </c>
      <c r="B459" s="22">
        <v>919</v>
      </c>
      <c r="C459" s="19" t="s">
        <v>18</v>
      </c>
      <c r="D459" s="19" t="s">
        <v>26</v>
      </c>
      <c r="E459" s="19" t="s">
        <v>412</v>
      </c>
      <c r="F459" s="19"/>
      <c r="G459" s="20">
        <f>G460</f>
        <v>491.3</v>
      </c>
      <c r="H459" s="20">
        <f>H460</f>
        <v>491.3</v>
      </c>
      <c r="I459" s="20">
        <f>I460</f>
        <v>491.3</v>
      </c>
      <c r="O459" s="29"/>
      <c r="P459" s="29"/>
    </row>
    <row r="460" spans="1:16" s="29" customFormat="1" ht="25.5" x14ac:dyDescent="0.2">
      <c r="A460" s="31" t="s">
        <v>169</v>
      </c>
      <c r="B460" s="35">
        <v>919</v>
      </c>
      <c r="C460" s="27" t="s">
        <v>18</v>
      </c>
      <c r="D460" s="27" t="s">
        <v>26</v>
      </c>
      <c r="E460" s="27" t="s">
        <v>412</v>
      </c>
      <c r="F460" s="27" t="s">
        <v>66</v>
      </c>
      <c r="G460" s="28">
        <v>491.3</v>
      </c>
      <c r="H460" s="28">
        <v>491.3</v>
      </c>
      <c r="I460" s="28">
        <v>491.3</v>
      </c>
      <c r="J460" s="21"/>
      <c r="K460" s="21"/>
      <c r="L460" s="21"/>
      <c r="M460" s="21"/>
      <c r="N460" s="21"/>
      <c r="O460" s="21"/>
      <c r="P460" s="21"/>
    </row>
    <row r="461" spans="1:16" s="3" customFormat="1" x14ac:dyDescent="0.2">
      <c r="A461" s="13" t="s">
        <v>30</v>
      </c>
      <c r="B461" s="50">
        <v>919</v>
      </c>
      <c r="C461" s="1" t="s">
        <v>31</v>
      </c>
      <c r="D461" s="1"/>
      <c r="E461" s="1"/>
      <c r="F461" s="1"/>
      <c r="G461" s="2">
        <f>G462+G465+G486+G495</f>
        <v>151242.20000000004</v>
      </c>
      <c r="H461" s="2">
        <f>H462+H465+H486+H495</f>
        <v>81220.200000000012</v>
      </c>
      <c r="I461" s="2">
        <f>I462+I465+I486+I495</f>
        <v>93682.8</v>
      </c>
      <c r="J461" s="21"/>
      <c r="K461" s="86"/>
      <c r="L461" s="86"/>
      <c r="M461" s="86"/>
      <c r="N461" s="21"/>
      <c r="O461" s="21"/>
      <c r="P461" s="21"/>
    </row>
    <row r="462" spans="1:16" s="9" customFormat="1" x14ac:dyDescent="0.2">
      <c r="A462" s="11" t="s">
        <v>32</v>
      </c>
      <c r="B462" s="14">
        <v>919</v>
      </c>
      <c r="C462" s="8" t="s">
        <v>31</v>
      </c>
      <c r="D462" s="8" t="s">
        <v>12</v>
      </c>
      <c r="E462" s="8"/>
      <c r="F462" s="8"/>
      <c r="G462" s="4">
        <f t="shared" ref="G462:I463" si="66">G463</f>
        <v>1274.3</v>
      </c>
      <c r="H462" s="4">
        <f t="shared" si="66"/>
        <v>1274.3</v>
      </c>
      <c r="I462" s="4">
        <f t="shared" si="66"/>
        <v>1274.3</v>
      </c>
      <c r="K462" s="87"/>
      <c r="L462" s="87"/>
      <c r="M462" s="87"/>
    </row>
    <row r="463" spans="1:16" ht="25.5" x14ac:dyDescent="0.2">
      <c r="A463" s="18" t="s">
        <v>415</v>
      </c>
      <c r="B463" s="22">
        <v>919</v>
      </c>
      <c r="C463" s="19" t="s">
        <v>31</v>
      </c>
      <c r="D463" s="19" t="s">
        <v>12</v>
      </c>
      <c r="E463" s="19" t="s">
        <v>414</v>
      </c>
      <c r="F463" s="19"/>
      <c r="G463" s="20">
        <f t="shared" si="66"/>
        <v>1274.3</v>
      </c>
      <c r="H463" s="20">
        <f t="shared" si="66"/>
        <v>1274.3</v>
      </c>
      <c r="I463" s="20">
        <f t="shared" si="66"/>
        <v>1274.3</v>
      </c>
      <c r="J463" s="7"/>
      <c r="K463" s="7"/>
      <c r="L463" s="7"/>
      <c r="M463" s="7"/>
      <c r="N463" s="7"/>
      <c r="O463" s="7"/>
      <c r="P463" s="7"/>
    </row>
    <row r="464" spans="1:16" s="29" customFormat="1" x14ac:dyDescent="0.2">
      <c r="A464" s="31" t="s">
        <v>73</v>
      </c>
      <c r="B464" s="35">
        <v>919</v>
      </c>
      <c r="C464" s="27" t="s">
        <v>31</v>
      </c>
      <c r="D464" s="27" t="s">
        <v>12</v>
      </c>
      <c r="E464" s="27" t="s">
        <v>414</v>
      </c>
      <c r="F464" s="27" t="s">
        <v>74</v>
      </c>
      <c r="G464" s="28">
        <f>1274.3</f>
        <v>1274.3</v>
      </c>
      <c r="H464" s="28">
        <f t="shared" ref="H464:I464" si="67">1274.3</f>
        <v>1274.3</v>
      </c>
      <c r="I464" s="28">
        <f t="shared" si="67"/>
        <v>1274.3</v>
      </c>
      <c r="J464" s="7"/>
      <c r="K464" s="7"/>
      <c r="L464" s="7"/>
      <c r="M464" s="7"/>
      <c r="N464" s="7"/>
      <c r="O464" s="7"/>
      <c r="P464" s="7"/>
    </row>
    <row r="465" spans="1:16" s="9" customFormat="1" x14ac:dyDescent="0.2">
      <c r="A465" s="11" t="s">
        <v>33</v>
      </c>
      <c r="B465" s="14">
        <v>919</v>
      </c>
      <c r="C465" s="8" t="s">
        <v>31</v>
      </c>
      <c r="D465" s="8" t="s">
        <v>14</v>
      </c>
      <c r="E465" s="8"/>
      <c r="F465" s="8"/>
      <c r="G465" s="4">
        <f>G466+G476+G480+G482+G484+G468+G472+G474+G470+G478</f>
        <v>124871.80000000002</v>
      </c>
      <c r="H465" s="4">
        <f t="shared" ref="H465:I465" si="68">H466+H476+H480+H482+H484+H468+H472+H474+H470+H478</f>
        <v>54849.799999999996</v>
      </c>
      <c r="I465" s="4">
        <f t="shared" si="68"/>
        <v>67312.399999999994</v>
      </c>
      <c r="J465" s="21"/>
      <c r="K465" s="21"/>
      <c r="L465" s="21"/>
      <c r="M465" s="21"/>
      <c r="N465" s="21"/>
      <c r="O465" s="21"/>
      <c r="P465" s="21"/>
    </row>
    <row r="466" spans="1:16" s="12" customFormat="1" ht="25.5" x14ac:dyDescent="0.2">
      <c r="A466" s="17" t="s">
        <v>200</v>
      </c>
      <c r="B466" s="51">
        <v>919</v>
      </c>
      <c r="C466" s="19" t="s">
        <v>31</v>
      </c>
      <c r="D466" s="19" t="s">
        <v>14</v>
      </c>
      <c r="E466" s="19" t="s">
        <v>199</v>
      </c>
      <c r="F466" s="5"/>
      <c r="G466" s="6">
        <f>G467</f>
        <v>43.4</v>
      </c>
      <c r="H466" s="6">
        <f>H467</f>
        <v>43.4</v>
      </c>
      <c r="I466" s="6">
        <f>I467</f>
        <v>43.4</v>
      </c>
    </row>
    <row r="467" spans="1:16" s="29" customFormat="1" ht="25.5" x14ac:dyDescent="0.2">
      <c r="A467" s="31" t="s">
        <v>77</v>
      </c>
      <c r="B467" s="36">
        <v>919</v>
      </c>
      <c r="C467" s="27" t="s">
        <v>31</v>
      </c>
      <c r="D467" s="27" t="s">
        <v>14</v>
      </c>
      <c r="E467" s="27" t="s">
        <v>199</v>
      </c>
      <c r="F467" s="30" t="s">
        <v>69</v>
      </c>
      <c r="G467" s="28">
        <f>43.4</f>
        <v>43.4</v>
      </c>
      <c r="H467" s="28">
        <f t="shared" ref="H467:I467" si="69">43.4</f>
        <v>43.4</v>
      </c>
      <c r="I467" s="28">
        <f t="shared" si="69"/>
        <v>43.4</v>
      </c>
    </row>
    <row r="468" spans="1:16" s="7" customFormat="1" ht="25.5" x14ac:dyDescent="0.2">
      <c r="A468" s="17" t="s">
        <v>417</v>
      </c>
      <c r="B468" s="51">
        <v>919</v>
      </c>
      <c r="C468" s="19" t="s">
        <v>31</v>
      </c>
      <c r="D468" s="19" t="s">
        <v>14</v>
      </c>
      <c r="E468" s="19" t="s">
        <v>416</v>
      </c>
      <c r="F468" s="19"/>
      <c r="G468" s="20">
        <f>G469</f>
        <v>2314</v>
      </c>
      <c r="H468" s="20">
        <f>H469</f>
        <v>4455</v>
      </c>
      <c r="I468" s="20">
        <f>I469</f>
        <v>4573</v>
      </c>
      <c r="J468" s="29"/>
      <c r="K468" s="29"/>
      <c r="L468" s="29"/>
      <c r="M468" s="29"/>
      <c r="N468" s="29"/>
      <c r="O468" s="29"/>
      <c r="P468" s="29"/>
    </row>
    <row r="469" spans="1:16" s="7" customFormat="1" ht="25.5" x14ac:dyDescent="0.2">
      <c r="A469" s="31" t="s">
        <v>77</v>
      </c>
      <c r="B469" s="35">
        <v>919</v>
      </c>
      <c r="C469" s="27" t="s">
        <v>31</v>
      </c>
      <c r="D469" s="27" t="s">
        <v>14</v>
      </c>
      <c r="E469" s="27" t="s">
        <v>416</v>
      </c>
      <c r="F469" s="27" t="s">
        <v>69</v>
      </c>
      <c r="G469" s="28">
        <f>2314</f>
        <v>2314</v>
      </c>
      <c r="H469" s="28">
        <f>4455</f>
        <v>4455</v>
      </c>
      <c r="I469" s="28">
        <f>4573</f>
        <v>4573</v>
      </c>
      <c r="J469" s="21"/>
      <c r="K469" s="21"/>
      <c r="L469" s="21"/>
      <c r="M469" s="21"/>
      <c r="N469" s="21"/>
      <c r="O469" s="21"/>
      <c r="P469" s="21"/>
    </row>
    <row r="470" spans="1:16" s="7" customFormat="1" ht="25.5" x14ac:dyDescent="0.2">
      <c r="A470" s="17" t="s">
        <v>457</v>
      </c>
      <c r="B470" s="51">
        <v>919</v>
      </c>
      <c r="C470" s="19" t="s">
        <v>31</v>
      </c>
      <c r="D470" s="19" t="s">
        <v>14</v>
      </c>
      <c r="E470" s="19" t="s">
        <v>456</v>
      </c>
      <c r="F470" s="19"/>
      <c r="G470" s="20">
        <f>G471</f>
        <v>1500</v>
      </c>
      <c r="H470" s="20">
        <f>H471</f>
        <v>1500</v>
      </c>
      <c r="I470" s="20">
        <f>I471</f>
        <v>1500</v>
      </c>
      <c r="J470" s="29"/>
      <c r="K470" s="29"/>
      <c r="L470" s="29"/>
      <c r="M470" s="29"/>
      <c r="N470" s="29"/>
      <c r="O470" s="29"/>
      <c r="P470" s="29"/>
    </row>
    <row r="471" spans="1:16" s="7" customFormat="1" ht="25.5" x14ac:dyDescent="0.2">
      <c r="A471" s="31" t="s">
        <v>84</v>
      </c>
      <c r="B471" s="35">
        <v>919</v>
      </c>
      <c r="C471" s="27" t="s">
        <v>31</v>
      </c>
      <c r="D471" s="27" t="s">
        <v>14</v>
      </c>
      <c r="E471" s="27" t="s">
        <v>456</v>
      </c>
      <c r="F471" s="27" t="s">
        <v>72</v>
      </c>
      <c r="G471" s="28">
        <f>1500</f>
        <v>1500</v>
      </c>
      <c r="H471" s="28">
        <f>1500</f>
        <v>1500</v>
      </c>
      <c r="I471" s="28">
        <f>1500</f>
        <v>1500</v>
      </c>
      <c r="J471" s="21"/>
      <c r="K471" s="21"/>
      <c r="L471" s="21"/>
      <c r="M471" s="21"/>
      <c r="N471" s="21"/>
      <c r="O471" s="21"/>
      <c r="P471" s="21"/>
    </row>
    <row r="472" spans="1:16" s="7" customFormat="1" x14ac:dyDescent="0.2">
      <c r="A472" s="17" t="s">
        <v>419</v>
      </c>
      <c r="B472" s="51">
        <v>919</v>
      </c>
      <c r="C472" s="19" t="s">
        <v>31</v>
      </c>
      <c r="D472" s="19" t="s">
        <v>14</v>
      </c>
      <c r="E472" s="19" t="s">
        <v>418</v>
      </c>
      <c r="F472" s="19"/>
      <c r="G472" s="20">
        <f>G473</f>
        <v>890</v>
      </c>
      <c r="H472" s="20">
        <f>H473</f>
        <v>890</v>
      </c>
      <c r="I472" s="20">
        <f>I473</f>
        <v>890</v>
      </c>
      <c r="J472" s="29"/>
      <c r="K472" s="29"/>
      <c r="L472" s="29"/>
      <c r="M472" s="29"/>
      <c r="N472" s="29"/>
      <c r="O472" s="29"/>
      <c r="P472" s="29"/>
    </row>
    <row r="473" spans="1:16" s="7" customFormat="1" ht="25.5" x14ac:dyDescent="0.2">
      <c r="A473" s="31" t="s">
        <v>77</v>
      </c>
      <c r="B473" s="35">
        <v>919</v>
      </c>
      <c r="C473" s="27" t="s">
        <v>31</v>
      </c>
      <c r="D473" s="27" t="s">
        <v>14</v>
      </c>
      <c r="E473" s="27" t="s">
        <v>418</v>
      </c>
      <c r="F473" s="27" t="s">
        <v>69</v>
      </c>
      <c r="G473" s="28">
        <f>890</f>
        <v>890</v>
      </c>
      <c r="H473" s="28">
        <f>890</f>
        <v>890</v>
      </c>
      <c r="I473" s="28">
        <f>890</f>
        <v>890</v>
      </c>
      <c r="J473" s="21"/>
      <c r="K473" s="21"/>
      <c r="L473" s="21"/>
      <c r="M473" s="21"/>
      <c r="N473" s="21"/>
      <c r="O473" s="21"/>
      <c r="P473" s="21"/>
    </row>
    <row r="474" spans="1:16" s="7" customFormat="1" x14ac:dyDescent="0.2">
      <c r="A474" s="17" t="s">
        <v>421</v>
      </c>
      <c r="B474" s="51">
        <v>919</v>
      </c>
      <c r="C474" s="19" t="s">
        <v>31</v>
      </c>
      <c r="D474" s="19" t="s">
        <v>14</v>
      </c>
      <c r="E474" s="19" t="s">
        <v>420</v>
      </c>
      <c r="F474" s="19"/>
      <c r="G474" s="20">
        <f>G475</f>
        <v>50</v>
      </c>
      <c r="H474" s="20">
        <f>H475</f>
        <v>50</v>
      </c>
      <c r="I474" s="20">
        <f>I475</f>
        <v>50</v>
      </c>
      <c r="J474" s="29"/>
      <c r="K474" s="29"/>
      <c r="L474" s="29"/>
      <c r="M474" s="29"/>
      <c r="N474" s="29"/>
      <c r="O474" s="29"/>
      <c r="P474" s="29"/>
    </row>
    <row r="475" spans="1:16" s="7" customFormat="1" ht="25.5" x14ac:dyDescent="0.2">
      <c r="A475" s="31" t="s">
        <v>77</v>
      </c>
      <c r="B475" s="35">
        <v>919</v>
      </c>
      <c r="C475" s="27" t="s">
        <v>31</v>
      </c>
      <c r="D475" s="27" t="s">
        <v>14</v>
      </c>
      <c r="E475" s="27" t="s">
        <v>420</v>
      </c>
      <c r="F475" s="27" t="s">
        <v>69</v>
      </c>
      <c r="G475" s="28">
        <f>50</f>
        <v>50</v>
      </c>
      <c r="H475" s="28">
        <f>50</f>
        <v>50</v>
      </c>
      <c r="I475" s="28">
        <f>50</f>
        <v>50</v>
      </c>
      <c r="J475" s="21"/>
      <c r="K475" s="21"/>
      <c r="L475" s="21"/>
      <c r="M475" s="21"/>
      <c r="N475" s="21"/>
      <c r="O475" s="21"/>
      <c r="P475" s="21"/>
    </row>
    <row r="476" spans="1:16" s="7" customFormat="1" x14ac:dyDescent="0.2">
      <c r="A476" s="17" t="s">
        <v>423</v>
      </c>
      <c r="B476" s="51">
        <v>919</v>
      </c>
      <c r="C476" s="19" t="s">
        <v>31</v>
      </c>
      <c r="D476" s="19" t="s">
        <v>14</v>
      </c>
      <c r="E476" s="19" t="s">
        <v>422</v>
      </c>
      <c r="F476" s="19"/>
      <c r="G476" s="20">
        <f>G477</f>
        <v>1500</v>
      </c>
      <c r="H476" s="20">
        <f>H477</f>
        <v>500</v>
      </c>
      <c r="I476" s="20">
        <f>I477</f>
        <v>500</v>
      </c>
      <c r="J476" s="29"/>
      <c r="K476" s="29"/>
      <c r="L476" s="29"/>
      <c r="M476" s="29"/>
      <c r="N476" s="29"/>
      <c r="O476" s="29"/>
      <c r="P476" s="29"/>
    </row>
    <row r="477" spans="1:16" s="7" customFormat="1" ht="25.5" x14ac:dyDescent="0.2">
      <c r="A477" s="31" t="s">
        <v>77</v>
      </c>
      <c r="B477" s="35">
        <v>919</v>
      </c>
      <c r="C477" s="27" t="s">
        <v>31</v>
      </c>
      <c r="D477" s="27" t="s">
        <v>14</v>
      </c>
      <c r="E477" s="27" t="s">
        <v>422</v>
      </c>
      <c r="F477" s="27" t="s">
        <v>69</v>
      </c>
      <c r="G477" s="28">
        <f>1500</f>
        <v>1500</v>
      </c>
      <c r="H477" s="28">
        <f>500</f>
        <v>500</v>
      </c>
      <c r="I477" s="28">
        <f>500</f>
        <v>500</v>
      </c>
      <c r="J477" s="21"/>
      <c r="K477" s="21"/>
      <c r="L477" s="21"/>
      <c r="M477" s="21"/>
      <c r="N477" s="21"/>
      <c r="O477" s="21"/>
      <c r="P477" s="21"/>
    </row>
    <row r="478" spans="1:16" s="7" customFormat="1" x14ac:dyDescent="0.2">
      <c r="A478" s="17" t="s">
        <v>459</v>
      </c>
      <c r="B478" s="51">
        <v>919</v>
      </c>
      <c r="C478" s="19" t="s">
        <v>31</v>
      </c>
      <c r="D478" s="19" t="s">
        <v>14</v>
      </c>
      <c r="E478" s="19" t="s">
        <v>458</v>
      </c>
      <c r="F478" s="19"/>
      <c r="G478" s="20">
        <f>G479</f>
        <v>2000</v>
      </c>
      <c r="H478" s="20">
        <f>H479</f>
        <v>1000</v>
      </c>
      <c r="I478" s="20">
        <f>I479</f>
        <v>1000</v>
      </c>
      <c r="J478" s="29"/>
      <c r="K478" s="29"/>
      <c r="L478" s="29"/>
      <c r="M478" s="29"/>
      <c r="N478" s="29"/>
      <c r="O478" s="29"/>
      <c r="P478" s="29"/>
    </row>
    <row r="479" spans="1:16" s="7" customFormat="1" ht="25.5" x14ac:dyDescent="0.2">
      <c r="A479" s="31" t="s">
        <v>77</v>
      </c>
      <c r="B479" s="35">
        <v>919</v>
      </c>
      <c r="C479" s="27" t="s">
        <v>31</v>
      </c>
      <c r="D479" s="27" t="s">
        <v>14</v>
      </c>
      <c r="E479" s="27" t="s">
        <v>458</v>
      </c>
      <c r="F479" s="27" t="s">
        <v>69</v>
      </c>
      <c r="G479" s="28">
        <f>2000</f>
        <v>2000</v>
      </c>
      <c r="H479" s="28">
        <f>1000</f>
        <v>1000</v>
      </c>
      <c r="I479" s="28">
        <f>1000</f>
        <v>1000</v>
      </c>
      <c r="J479" s="21"/>
      <c r="K479" s="21"/>
      <c r="L479" s="21"/>
      <c r="M479" s="21"/>
      <c r="N479" s="21"/>
      <c r="O479" s="21"/>
      <c r="P479" s="21"/>
    </row>
    <row r="480" spans="1:16" ht="63.75" x14ac:dyDescent="0.2">
      <c r="A480" s="18" t="s">
        <v>425</v>
      </c>
      <c r="B480" s="22">
        <v>919</v>
      </c>
      <c r="C480" s="19" t="s">
        <v>31</v>
      </c>
      <c r="D480" s="19" t="s">
        <v>14</v>
      </c>
      <c r="E480" s="19" t="s">
        <v>424</v>
      </c>
      <c r="F480" s="19"/>
      <c r="G480" s="20">
        <f>G481</f>
        <v>111382.80000000002</v>
      </c>
      <c r="H480" s="20">
        <f>H481</f>
        <v>41219.799999999996</v>
      </c>
      <c r="I480" s="20">
        <f>I481</f>
        <v>53564.4</v>
      </c>
      <c r="J480" s="29"/>
      <c r="K480" s="29"/>
      <c r="L480" s="29"/>
      <c r="M480" s="29"/>
      <c r="N480" s="29"/>
      <c r="O480" s="29"/>
      <c r="P480" s="29"/>
    </row>
    <row r="481" spans="1:16" s="29" customFormat="1" x14ac:dyDescent="0.2">
      <c r="A481" s="31" t="s">
        <v>73</v>
      </c>
      <c r="B481" s="35">
        <v>919</v>
      </c>
      <c r="C481" s="27" t="s">
        <v>31</v>
      </c>
      <c r="D481" s="27" t="s">
        <v>14</v>
      </c>
      <c r="E481" s="27" t="s">
        <v>424</v>
      </c>
      <c r="F481" s="27" t="s">
        <v>74</v>
      </c>
      <c r="G481" s="28">
        <f>29522.4+80374.8+1485.6</f>
        <v>111382.80000000002</v>
      </c>
      <c r="H481" s="28">
        <f>10222.7+27831.5+1485.6+1680</f>
        <v>41219.799999999996</v>
      </c>
      <c r="I481" s="28">
        <f>13538.9+36859.9+1485.6+1680</f>
        <v>53564.4</v>
      </c>
      <c r="J481" s="21"/>
      <c r="K481" s="21"/>
      <c r="L481" s="21"/>
      <c r="M481" s="21"/>
      <c r="N481" s="21"/>
      <c r="O481" s="21"/>
      <c r="P481" s="21"/>
    </row>
    <row r="482" spans="1:16" ht="63.75" x14ac:dyDescent="0.2">
      <c r="A482" s="17" t="s">
        <v>427</v>
      </c>
      <c r="B482" s="51">
        <v>919</v>
      </c>
      <c r="C482" s="19" t="s">
        <v>31</v>
      </c>
      <c r="D482" s="19" t="s">
        <v>14</v>
      </c>
      <c r="E482" s="19" t="s">
        <v>426</v>
      </c>
      <c r="F482" s="19"/>
      <c r="G482" s="20">
        <f>G483</f>
        <v>1600.5</v>
      </c>
      <c r="H482" s="20">
        <f>H483</f>
        <v>1600.5</v>
      </c>
      <c r="I482" s="20">
        <f>I483</f>
        <v>1600.5</v>
      </c>
      <c r="J482" s="29"/>
      <c r="K482" s="29"/>
      <c r="L482" s="29"/>
      <c r="M482" s="29"/>
      <c r="N482" s="29"/>
      <c r="O482" s="29"/>
      <c r="P482" s="29"/>
    </row>
    <row r="483" spans="1:16" s="29" customFormat="1" x14ac:dyDescent="0.2">
      <c r="A483" s="31" t="s">
        <v>73</v>
      </c>
      <c r="B483" s="35">
        <v>919</v>
      </c>
      <c r="C483" s="27" t="s">
        <v>31</v>
      </c>
      <c r="D483" s="27" t="s">
        <v>14</v>
      </c>
      <c r="E483" s="27" t="s">
        <v>426</v>
      </c>
      <c r="F483" s="27" t="s">
        <v>74</v>
      </c>
      <c r="G483" s="28">
        <f>1600.5</f>
        <v>1600.5</v>
      </c>
      <c r="H483" s="28">
        <f t="shared" ref="H483:I483" si="70">1600.5</f>
        <v>1600.5</v>
      </c>
      <c r="I483" s="28">
        <f t="shared" si="70"/>
        <v>1600.5</v>
      </c>
      <c r="J483" s="9"/>
      <c r="K483" s="9"/>
      <c r="L483" s="9"/>
      <c r="M483" s="9"/>
      <c r="N483" s="9"/>
      <c r="O483" s="9"/>
      <c r="P483" s="9"/>
    </row>
    <row r="484" spans="1:16" ht="38.25" x14ac:dyDescent="0.2">
      <c r="A484" s="18" t="s">
        <v>429</v>
      </c>
      <c r="B484" s="22">
        <v>919</v>
      </c>
      <c r="C484" s="19" t="s">
        <v>31</v>
      </c>
      <c r="D484" s="19" t="s">
        <v>14</v>
      </c>
      <c r="E484" s="19" t="s">
        <v>428</v>
      </c>
      <c r="F484" s="19"/>
      <c r="G484" s="20">
        <f>G485</f>
        <v>3591.1</v>
      </c>
      <c r="H484" s="20">
        <f>H485</f>
        <v>3591.1</v>
      </c>
      <c r="I484" s="20">
        <f>I485</f>
        <v>3591.1</v>
      </c>
    </row>
    <row r="485" spans="1:16" s="29" customFormat="1" x14ac:dyDescent="0.2">
      <c r="A485" s="31" t="s">
        <v>73</v>
      </c>
      <c r="B485" s="35">
        <v>919</v>
      </c>
      <c r="C485" s="27" t="s">
        <v>31</v>
      </c>
      <c r="D485" s="27" t="s">
        <v>14</v>
      </c>
      <c r="E485" s="27" t="s">
        <v>428</v>
      </c>
      <c r="F485" s="27" t="s">
        <v>74</v>
      </c>
      <c r="G485" s="28">
        <f>3591.1</f>
        <v>3591.1</v>
      </c>
      <c r="H485" s="28">
        <f t="shared" ref="H485:I485" si="71">3591.1</f>
        <v>3591.1</v>
      </c>
      <c r="I485" s="28">
        <f t="shared" si="71"/>
        <v>3591.1</v>
      </c>
      <c r="J485" s="21"/>
      <c r="K485" s="21"/>
      <c r="L485" s="21"/>
      <c r="M485" s="21"/>
      <c r="N485" s="21"/>
      <c r="O485" s="21"/>
      <c r="P485" s="21"/>
    </row>
    <row r="486" spans="1:16" s="9" customFormat="1" x14ac:dyDescent="0.2">
      <c r="A486" s="11" t="s">
        <v>35</v>
      </c>
      <c r="B486" s="14">
        <v>919</v>
      </c>
      <c r="C486" s="8" t="s">
        <v>31</v>
      </c>
      <c r="D486" s="8" t="s">
        <v>16</v>
      </c>
      <c r="E486" s="8"/>
      <c r="F486" s="8"/>
      <c r="G486" s="4">
        <f>G487+G489+G491+G493</f>
        <v>10150</v>
      </c>
      <c r="H486" s="4">
        <f t="shared" ref="H486:I486" si="72">H487+H489+H491+H493</f>
        <v>10150</v>
      </c>
      <c r="I486" s="4">
        <f t="shared" si="72"/>
        <v>10150</v>
      </c>
      <c r="J486" s="38"/>
      <c r="K486" s="7"/>
      <c r="L486" s="7"/>
      <c r="M486" s="7"/>
      <c r="N486" s="7"/>
      <c r="O486" s="7"/>
      <c r="P486" s="7"/>
    </row>
    <row r="487" spans="1:16" s="7" customFormat="1" x14ac:dyDescent="0.2">
      <c r="A487" s="18" t="s">
        <v>434</v>
      </c>
      <c r="B487" s="22">
        <v>919</v>
      </c>
      <c r="C487" s="19" t="s">
        <v>31</v>
      </c>
      <c r="D487" s="19" t="s">
        <v>16</v>
      </c>
      <c r="E487" s="19" t="s">
        <v>433</v>
      </c>
      <c r="F487" s="19"/>
      <c r="G487" s="20">
        <f>G488</f>
        <v>400</v>
      </c>
      <c r="H487" s="20">
        <f>H488</f>
        <v>400</v>
      </c>
      <c r="I487" s="20">
        <f>I488</f>
        <v>400</v>
      </c>
      <c r="J487" s="29"/>
      <c r="K487" s="29"/>
      <c r="L487" s="29"/>
      <c r="M487" s="29"/>
      <c r="N487" s="29"/>
      <c r="O487" s="29"/>
      <c r="P487" s="29"/>
    </row>
    <row r="488" spans="1:16" s="29" customFormat="1" ht="25.5" x14ac:dyDescent="0.2">
      <c r="A488" s="31" t="s">
        <v>169</v>
      </c>
      <c r="B488" s="35">
        <v>919</v>
      </c>
      <c r="C488" s="27" t="s">
        <v>31</v>
      </c>
      <c r="D488" s="27" t="s">
        <v>16</v>
      </c>
      <c r="E488" s="27" t="s">
        <v>433</v>
      </c>
      <c r="F488" s="27" t="s">
        <v>66</v>
      </c>
      <c r="G488" s="28">
        <v>400</v>
      </c>
      <c r="H488" s="28">
        <v>400</v>
      </c>
      <c r="I488" s="28">
        <v>400</v>
      </c>
      <c r="J488" s="38"/>
      <c r="K488" s="7"/>
      <c r="L488" s="7"/>
      <c r="M488" s="7"/>
      <c r="N488" s="7"/>
      <c r="O488" s="7"/>
      <c r="P488" s="7"/>
    </row>
    <row r="489" spans="1:16" s="7" customFormat="1" ht="25.5" x14ac:dyDescent="0.2">
      <c r="A489" s="18" t="s">
        <v>435</v>
      </c>
      <c r="B489" s="22">
        <v>919</v>
      </c>
      <c r="C489" s="19" t="s">
        <v>31</v>
      </c>
      <c r="D489" s="19" t="s">
        <v>16</v>
      </c>
      <c r="E489" s="19" t="s">
        <v>436</v>
      </c>
      <c r="F489" s="19"/>
      <c r="G489" s="20">
        <f>G490</f>
        <v>2000</v>
      </c>
      <c r="H489" s="20">
        <f>H490</f>
        <v>2000</v>
      </c>
      <c r="I489" s="20">
        <f>I490</f>
        <v>2000</v>
      </c>
      <c r="J489" s="29"/>
      <c r="K489" s="29"/>
      <c r="L489" s="29"/>
      <c r="M489" s="29"/>
      <c r="N489" s="29"/>
      <c r="O489" s="29"/>
      <c r="P489" s="29"/>
    </row>
    <row r="490" spans="1:16" s="29" customFormat="1" ht="25.5" x14ac:dyDescent="0.2">
      <c r="A490" s="31" t="s">
        <v>169</v>
      </c>
      <c r="B490" s="35">
        <v>919</v>
      </c>
      <c r="C490" s="27" t="s">
        <v>31</v>
      </c>
      <c r="D490" s="27" t="s">
        <v>16</v>
      </c>
      <c r="E490" s="27" t="s">
        <v>437</v>
      </c>
      <c r="F490" s="27" t="s">
        <v>66</v>
      </c>
      <c r="G490" s="28">
        <v>2000</v>
      </c>
      <c r="H490" s="28">
        <v>2000</v>
      </c>
      <c r="I490" s="28">
        <v>2000</v>
      </c>
      <c r="J490" s="9"/>
      <c r="K490" s="9"/>
      <c r="L490" s="9"/>
      <c r="M490" s="9"/>
      <c r="N490" s="9"/>
      <c r="O490" s="9"/>
      <c r="P490" s="9"/>
    </row>
    <row r="491" spans="1:16" s="7" customFormat="1" x14ac:dyDescent="0.2">
      <c r="A491" s="18" t="s">
        <v>439</v>
      </c>
      <c r="B491" s="22">
        <v>919</v>
      </c>
      <c r="C491" s="27" t="s">
        <v>31</v>
      </c>
      <c r="D491" s="27" t="s">
        <v>16</v>
      </c>
      <c r="E491" s="19" t="s">
        <v>438</v>
      </c>
      <c r="F491" s="27"/>
      <c r="G491" s="28">
        <f>G492</f>
        <v>1000</v>
      </c>
      <c r="H491" s="28">
        <f>H492</f>
        <v>1000</v>
      </c>
      <c r="I491" s="28">
        <f>I492</f>
        <v>1000</v>
      </c>
      <c r="J491" s="21"/>
      <c r="K491" s="21"/>
      <c r="L491" s="21"/>
      <c r="M491" s="21"/>
      <c r="N491" s="21"/>
      <c r="O491" s="21"/>
      <c r="P491" s="21"/>
    </row>
    <row r="492" spans="1:16" s="29" customFormat="1" ht="25.5" x14ac:dyDescent="0.2">
      <c r="A492" s="31" t="s">
        <v>169</v>
      </c>
      <c r="B492" s="35">
        <v>919</v>
      </c>
      <c r="C492" s="27" t="s">
        <v>31</v>
      </c>
      <c r="D492" s="27" t="s">
        <v>16</v>
      </c>
      <c r="E492" s="27" t="s">
        <v>438</v>
      </c>
      <c r="F492" s="27" t="s">
        <v>66</v>
      </c>
      <c r="G492" s="28">
        <v>1000</v>
      </c>
      <c r="H492" s="28">
        <v>1000</v>
      </c>
      <c r="I492" s="28">
        <v>1000</v>
      </c>
    </row>
    <row r="493" spans="1:16" s="7" customFormat="1" ht="38.25" x14ac:dyDescent="0.2">
      <c r="A493" s="18" t="s">
        <v>441</v>
      </c>
      <c r="B493" s="22">
        <v>919</v>
      </c>
      <c r="C493" s="19" t="s">
        <v>31</v>
      </c>
      <c r="D493" s="19" t="s">
        <v>16</v>
      </c>
      <c r="E493" s="16" t="s">
        <v>440</v>
      </c>
      <c r="F493" s="19"/>
      <c r="G493" s="20">
        <f>G494</f>
        <v>6750</v>
      </c>
      <c r="H493" s="20">
        <f>H494</f>
        <v>6750</v>
      </c>
      <c r="I493" s="20">
        <f>I494</f>
        <v>6750</v>
      </c>
      <c r="J493" s="21"/>
      <c r="K493" s="21"/>
      <c r="L493" s="21"/>
      <c r="M493" s="21"/>
      <c r="N493" s="21"/>
      <c r="O493" s="21"/>
      <c r="P493" s="21"/>
    </row>
    <row r="494" spans="1:16" s="29" customFormat="1" ht="25.5" x14ac:dyDescent="0.2">
      <c r="A494" s="31" t="s">
        <v>169</v>
      </c>
      <c r="B494" s="35">
        <v>919</v>
      </c>
      <c r="C494" s="27" t="s">
        <v>31</v>
      </c>
      <c r="D494" s="27" t="s">
        <v>16</v>
      </c>
      <c r="E494" s="16" t="s">
        <v>440</v>
      </c>
      <c r="F494" s="27" t="s">
        <v>66</v>
      </c>
      <c r="G494" s="28">
        <v>6750</v>
      </c>
      <c r="H494" s="28">
        <v>6750</v>
      </c>
      <c r="I494" s="28">
        <v>6750</v>
      </c>
    </row>
    <row r="495" spans="1:16" s="9" customFormat="1" ht="25.5" x14ac:dyDescent="0.2">
      <c r="A495" s="11" t="s">
        <v>36</v>
      </c>
      <c r="B495" s="14">
        <v>919</v>
      </c>
      <c r="C495" s="8" t="s">
        <v>31</v>
      </c>
      <c r="D495" s="8" t="s">
        <v>31</v>
      </c>
      <c r="E495" s="8"/>
      <c r="F495" s="8"/>
      <c r="G495" s="4">
        <f>G496+G498+G502</f>
        <v>14946.1</v>
      </c>
      <c r="H495" s="4">
        <f>H496+H498+H502</f>
        <v>14946.1</v>
      </c>
      <c r="I495" s="4">
        <f>I496+I498+I502</f>
        <v>14946.1</v>
      </c>
      <c r="J495" s="29"/>
      <c r="K495" s="29"/>
      <c r="L495" s="29"/>
      <c r="M495" s="29"/>
      <c r="N495" s="29"/>
      <c r="O495" s="29"/>
      <c r="P495" s="29"/>
    </row>
    <row r="496" spans="1:16" ht="38.25" x14ac:dyDescent="0.2">
      <c r="A496" s="18" t="s">
        <v>443</v>
      </c>
      <c r="B496" s="22">
        <v>919</v>
      </c>
      <c r="C496" s="19" t="s">
        <v>31</v>
      </c>
      <c r="D496" s="19" t="s">
        <v>31</v>
      </c>
      <c r="E496" s="19" t="s">
        <v>442</v>
      </c>
      <c r="F496" s="19"/>
      <c r="G496" s="20">
        <f>G497</f>
        <v>4092</v>
      </c>
      <c r="H496" s="20">
        <f>H497</f>
        <v>4092</v>
      </c>
      <c r="I496" s="20">
        <f>I497</f>
        <v>4092</v>
      </c>
      <c r="J496" s="29"/>
      <c r="K496" s="29"/>
      <c r="L496" s="29"/>
      <c r="M496" s="29"/>
      <c r="N496" s="29"/>
      <c r="O496" s="29"/>
      <c r="P496" s="29"/>
    </row>
    <row r="497" spans="1:16" s="29" customFormat="1" ht="25.5" x14ac:dyDescent="0.2">
      <c r="A497" s="31" t="s">
        <v>169</v>
      </c>
      <c r="B497" s="35">
        <v>919</v>
      </c>
      <c r="C497" s="27" t="s">
        <v>31</v>
      </c>
      <c r="D497" s="27" t="s">
        <v>31</v>
      </c>
      <c r="E497" s="27" t="s">
        <v>442</v>
      </c>
      <c r="F497" s="27" t="s">
        <v>66</v>
      </c>
      <c r="G497" s="28">
        <f>4092</f>
        <v>4092</v>
      </c>
      <c r="H497" s="28">
        <f>4092</f>
        <v>4092</v>
      </c>
      <c r="I497" s="28">
        <f>4092</f>
        <v>4092</v>
      </c>
      <c r="J497" s="12"/>
      <c r="K497" s="12"/>
      <c r="L497" s="12"/>
      <c r="M497" s="12"/>
      <c r="N497" s="12"/>
      <c r="O497" s="12"/>
      <c r="P497" s="12"/>
    </row>
    <row r="498" spans="1:16" ht="38.25" x14ac:dyDescent="0.2">
      <c r="A498" s="18" t="s">
        <v>445</v>
      </c>
      <c r="B498" s="22">
        <v>919</v>
      </c>
      <c r="C498" s="19" t="s">
        <v>31</v>
      </c>
      <c r="D498" s="19" t="s">
        <v>31</v>
      </c>
      <c r="E498" s="19" t="s">
        <v>444</v>
      </c>
      <c r="F498" s="19"/>
      <c r="G498" s="20">
        <f>G499+G500+G501</f>
        <v>2889.8</v>
      </c>
      <c r="H498" s="20">
        <f>H499+H500+H501</f>
        <v>2889.8</v>
      </c>
      <c r="I498" s="20">
        <f>I499+I500+I501</f>
        <v>2889.8</v>
      </c>
      <c r="J498" s="29"/>
      <c r="K498" s="29"/>
      <c r="L498" s="29"/>
      <c r="M498" s="29"/>
      <c r="N498" s="29"/>
      <c r="O498" s="29"/>
      <c r="P498" s="29"/>
    </row>
    <row r="499" spans="1:16" s="29" customFormat="1" ht="54" customHeight="1" x14ac:dyDescent="0.2">
      <c r="A499" s="34" t="s">
        <v>67</v>
      </c>
      <c r="B499" s="36">
        <v>919</v>
      </c>
      <c r="C499" s="27" t="s">
        <v>31</v>
      </c>
      <c r="D499" s="27" t="s">
        <v>31</v>
      </c>
      <c r="E499" s="27" t="s">
        <v>444</v>
      </c>
      <c r="F499" s="27" t="s">
        <v>68</v>
      </c>
      <c r="G499" s="28">
        <f>2098.8+633.8+1</f>
        <v>2733.6000000000004</v>
      </c>
      <c r="H499" s="28">
        <f t="shared" ref="H499:I499" si="73">2098.8+633.8+1</f>
        <v>2733.6000000000004</v>
      </c>
      <c r="I499" s="28">
        <f t="shared" si="73"/>
        <v>2733.6000000000004</v>
      </c>
      <c r="J499" s="12"/>
      <c r="K499" s="12"/>
      <c r="L499" s="12"/>
      <c r="M499" s="12"/>
      <c r="N499" s="12"/>
      <c r="O499" s="12"/>
      <c r="P499" s="12"/>
    </row>
    <row r="500" spans="1:16" s="29" customFormat="1" ht="25.5" x14ac:dyDescent="0.2">
      <c r="A500" s="31" t="s">
        <v>77</v>
      </c>
      <c r="B500" s="36">
        <v>919</v>
      </c>
      <c r="C500" s="27" t="s">
        <v>31</v>
      </c>
      <c r="D500" s="27" t="s">
        <v>31</v>
      </c>
      <c r="E500" s="27" t="s">
        <v>444</v>
      </c>
      <c r="F500" s="27" t="s">
        <v>69</v>
      </c>
      <c r="G500" s="28">
        <f>155.2</f>
        <v>155.19999999999999</v>
      </c>
      <c r="H500" s="28">
        <f t="shared" ref="H500:I500" si="74">155.2</f>
        <v>155.19999999999999</v>
      </c>
      <c r="I500" s="28">
        <f t="shared" si="74"/>
        <v>155.19999999999999</v>
      </c>
    </row>
    <row r="501" spans="1:16" s="29" customFormat="1" x14ac:dyDescent="0.2">
      <c r="A501" s="34" t="s">
        <v>73</v>
      </c>
      <c r="B501" s="36">
        <v>919</v>
      </c>
      <c r="C501" s="27" t="s">
        <v>31</v>
      </c>
      <c r="D501" s="27" t="s">
        <v>31</v>
      </c>
      <c r="E501" s="27" t="s">
        <v>444</v>
      </c>
      <c r="F501" s="27" t="s">
        <v>74</v>
      </c>
      <c r="G501" s="28">
        <f>1</f>
        <v>1</v>
      </c>
      <c r="H501" s="28">
        <f>1</f>
        <v>1</v>
      </c>
      <c r="I501" s="28">
        <f>1</f>
        <v>1</v>
      </c>
      <c r="J501" s="9"/>
      <c r="K501" s="9"/>
      <c r="L501" s="9"/>
      <c r="M501" s="9"/>
      <c r="N501" s="9"/>
      <c r="O501" s="9"/>
      <c r="P501" s="9"/>
    </row>
    <row r="502" spans="1:16" s="12" customFormat="1" ht="38.25" x14ac:dyDescent="0.2">
      <c r="A502" s="18" t="s">
        <v>447</v>
      </c>
      <c r="B502" s="22">
        <v>919</v>
      </c>
      <c r="C502" s="19" t="s">
        <v>31</v>
      </c>
      <c r="D502" s="19" t="s">
        <v>31</v>
      </c>
      <c r="E502" s="19" t="s">
        <v>446</v>
      </c>
      <c r="F502" s="5"/>
      <c r="G502" s="6">
        <f>G503</f>
        <v>7964.3</v>
      </c>
      <c r="H502" s="6">
        <f>H503</f>
        <v>7964.3</v>
      </c>
      <c r="I502" s="6">
        <f>I503</f>
        <v>7964.3</v>
      </c>
      <c r="J502" s="3"/>
      <c r="K502" s="3"/>
      <c r="L502" s="3"/>
      <c r="M502" s="3"/>
      <c r="N502" s="3"/>
      <c r="O502" s="3"/>
      <c r="P502" s="3"/>
    </row>
    <row r="503" spans="1:16" s="29" customFormat="1" ht="25.5" x14ac:dyDescent="0.2">
      <c r="A503" s="31" t="s">
        <v>169</v>
      </c>
      <c r="B503" s="35">
        <v>919</v>
      </c>
      <c r="C503" s="27" t="s">
        <v>31</v>
      </c>
      <c r="D503" s="27" t="s">
        <v>31</v>
      </c>
      <c r="E503" s="27" t="s">
        <v>446</v>
      </c>
      <c r="F503" s="27" t="s">
        <v>66</v>
      </c>
      <c r="G503" s="28">
        <f>7964.3</f>
        <v>7964.3</v>
      </c>
      <c r="H503" s="28">
        <f t="shared" ref="H503:I503" si="75">7964.3</f>
        <v>7964.3</v>
      </c>
      <c r="I503" s="28">
        <f t="shared" si="75"/>
        <v>7964.3</v>
      </c>
      <c r="J503" s="21"/>
      <c r="K503" s="21"/>
      <c r="L503" s="21"/>
      <c r="M503" s="21"/>
      <c r="N503" s="21"/>
      <c r="O503" s="21"/>
      <c r="P503" s="21"/>
    </row>
    <row r="504" spans="1:16" s="9" customFormat="1" x14ac:dyDescent="0.2">
      <c r="A504" s="11" t="s">
        <v>53</v>
      </c>
      <c r="B504" s="14">
        <v>919</v>
      </c>
      <c r="C504" s="8" t="s">
        <v>52</v>
      </c>
      <c r="D504" s="8"/>
      <c r="E504" s="8"/>
      <c r="F504" s="8"/>
      <c r="G504" s="4">
        <f>G505+G508</f>
        <v>3530.2999999999997</v>
      </c>
      <c r="H504" s="4">
        <f>H505+H508</f>
        <v>3530.2999999999997</v>
      </c>
      <c r="I504" s="4">
        <f>I505+I508</f>
        <v>3530.2999999999997</v>
      </c>
      <c r="J504" s="21"/>
      <c r="K504" s="21"/>
      <c r="L504" s="21"/>
      <c r="M504" s="21"/>
      <c r="N504" s="21"/>
      <c r="O504" s="21"/>
      <c r="P504" s="21"/>
    </row>
    <row r="505" spans="1:16" s="3" customFormat="1" x14ac:dyDescent="0.2">
      <c r="A505" s="13" t="s">
        <v>56</v>
      </c>
      <c r="B505" s="50">
        <v>919</v>
      </c>
      <c r="C505" s="1" t="s">
        <v>52</v>
      </c>
      <c r="D505" s="1" t="s">
        <v>16</v>
      </c>
      <c r="E505" s="1"/>
      <c r="F505" s="1"/>
      <c r="G505" s="2">
        <f t="shared" ref="G505:I506" si="76">G506</f>
        <v>163</v>
      </c>
      <c r="H505" s="2">
        <f t="shared" si="76"/>
        <v>163</v>
      </c>
      <c r="I505" s="2">
        <f t="shared" si="76"/>
        <v>163</v>
      </c>
      <c r="J505" s="29"/>
      <c r="K505" s="29"/>
      <c r="L505" s="29"/>
      <c r="M505" s="29"/>
      <c r="N505" s="29"/>
      <c r="O505" s="29"/>
      <c r="P505" s="29"/>
    </row>
    <row r="506" spans="1:16" ht="63.75" x14ac:dyDescent="0.2">
      <c r="A506" s="18" t="s">
        <v>392</v>
      </c>
      <c r="B506" s="65">
        <v>919</v>
      </c>
      <c r="C506" s="19" t="s">
        <v>52</v>
      </c>
      <c r="D506" s="19" t="s">
        <v>16</v>
      </c>
      <c r="E506" s="19" t="s">
        <v>104</v>
      </c>
      <c r="F506" s="19"/>
      <c r="G506" s="20">
        <f t="shared" si="76"/>
        <v>163</v>
      </c>
      <c r="H506" s="20">
        <f t="shared" si="76"/>
        <v>163</v>
      </c>
      <c r="I506" s="20">
        <f t="shared" si="76"/>
        <v>163</v>
      </c>
    </row>
    <row r="507" spans="1:16" s="29" customFormat="1" x14ac:dyDescent="0.2">
      <c r="A507" s="31" t="s">
        <v>70</v>
      </c>
      <c r="B507" s="35">
        <v>919</v>
      </c>
      <c r="C507" s="27" t="s">
        <v>52</v>
      </c>
      <c r="D507" s="27" t="s">
        <v>16</v>
      </c>
      <c r="E507" s="19" t="s">
        <v>104</v>
      </c>
      <c r="F507" s="27" t="s">
        <v>71</v>
      </c>
      <c r="G507" s="28">
        <f>163</f>
        <v>163</v>
      </c>
      <c r="H507" s="28">
        <f>163</f>
        <v>163</v>
      </c>
      <c r="I507" s="28">
        <f>163</f>
        <v>163</v>
      </c>
    </row>
    <row r="508" spans="1:16" s="9" customFormat="1" x14ac:dyDescent="0.2">
      <c r="A508" s="11" t="s">
        <v>58</v>
      </c>
      <c r="B508" s="14">
        <v>919</v>
      </c>
      <c r="C508" s="8" t="s">
        <v>52</v>
      </c>
      <c r="D508" s="8" t="s">
        <v>51</v>
      </c>
      <c r="E508" s="8"/>
      <c r="F508" s="8"/>
      <c r="G508" s="4">
        <f>G509+G511+G513</f>
        <v>3367.2999999999997</v>
      </c>
      <c r="H508" s="4">
        <f>H509+H511+H513</f>
        <v>3367.2999999999997</v>
      </c>
      <c r="I508" s="4">
        <f>I509+I511+I513</f>
        <v>3367.2999999999997</v>
      </c>
      <c r="J508" s="21"/>
      <c r="K508" s="21"/>
      <c r="L508" s="21"/>
      <c r="M508" s="21"/>
      <c r="N508" s="21"/>
      <c r="O508" s="21"/>
      <c r="P508" s="21"/>
    </row>
    <row r="509" spans="1:16" x14ac:dyDescent="0.2">
      <c r="A509" s="18" t="s">
        <v>448</v>
      </c>
      <c r="B509" s="22">
        <v>919</v>
      </c>
      <c r="C509" s="19" t="s">
        <v>52</v>
      </c>
      <c r="D509" s="19" t="s">
        <v>51</v>
      </c>
      <c r="E509" s="19" t="s">
        <v>449</v>
      </c>
      <c r="F509" s="19"/>
      <c r="G509" s="20">
        <f>G510</f>
        <v>516.6</v>
      </c>
      <c r="H509" s="20">
        <f>H510</f>
        <v>516.6</v>
      </c>
      <c r="I509" s="20">
        <f>I510</f>
        <v>516.6</v>
      </c>
      <c r="O509" s="29"/>
      <c r="P509" s="29"/>
    </row>
    <row r="510" spans="1:16" s="29" customFormat="1" ht="14.25" x14ac:dyDescent="0.2">
      <c r="A510" s="31" t="s">
        <v>70</v>
      </c>
      <c r="B510" s="35">
        <v>919</v>
      </c>
      <c r="C510" s="27" t="s">
        <v>52</v>
      </c>
      <c r="D510" s="27" t="s">
        <v>51</v>
      </c>
      <c r="E510" s="27" t="s">
        <v>449</v>
      </c>
      <c r="F510" s="27" t="s">
        <v>71</v>
      </c>
      <c r="G510" s="28">
        <f>516.6</f>
        <v>516.6</v>
      </c>
      <c r="H510" s="28">
        <f t="shared" ref="H510:I510" si="77">516.6</f>
        <v>516.6</v>
      </c>
      <c r="I510" s="28">
        <f t="shared" si="77"/>
        <v>516.6</v>
      </c>
      <c r="J510" s="39"/>
      <c r="K510" s="39"/>
      <c r="L510" s="39"/>
      <c r="M510" s="15"/>
      <c r="N510" s="15"/>
      <c r="O510" s="15"/>
      <c r="P510" s="15"/>
    </row>
    <row r="511" spans="1:16" ht="25.5" x14ac:dyDescent="0.2">
      <c r="A511" s="18" t="s">
        <v>451</v>
      </c>
      <c r="B511" s="18">
        <v>919</v>
      </c>
      <c r="C511" s="19" t="s">
        <v>52</v>
      </c>
      <c r="D511" s="19" t="s">
        <v>51</v>
      </c>
      <c r="E511" s="19" t="s">
        <v>450</v>
      </c>
      <c r="F511" s="19"/>
      <c r="G511" s="20">
        <f>G512</f>
        <v>2706.7</v>
      </c>
      <c r="H511" s="20">
        <f>H512</f>
        <v>2706.7</v>
      </c>
      <c r="I511" s="20">
        <f>I512</f>
        <v>2706.7</v>
      </c>
      <c r="J511" s="23"/>
      <c r="K511" s="23"/>
      <c r="L511" s="23"/>
    </row>
    <row r="512" spans="1:16" s="29" customFormat="1" x14ac:dyDescent="0.2">
      <c r="A512" s="31" t="s">
        <v>70</v>
      </c>
      <c r="B512" s="31">
        <v>919</v>
      </c>
      <c r="C512" s="27" t="s">
        <v>52</v>
      </c>
      <c r="D512" s="27" t="s">
        <v>51</v>
      </c>
      <c r="E512" s="27" t="s">
        <v>450</v>
      </c>
      <c r="F512" s="27" t="s">
        <v>71</v>
      </c>
      <c r="G512" s="28">
        <f>2706.7</f>
        <v>2706.7</v>
      </c>
      <c r="H512" s="28">
        <f t="shared" ref="H512:I512" si="78">2706.7</f>
        <v>2706.7</v>
      </c>
      <c r="I512" s="28">
        <f t="shared" si="78"/>
        <v>2706.7</v>
      </c>
      <c r="J512" s="23"/>
      <c r="K512" s="23"/>
      <c r="L512" s="23"/>
      <c r="M512" s="21"/>
      <c r="N512" s="21"/>
      <c r="O512" s="21"/>
      <c r="P512" s="21"/>
    </row>
    <row r="513" spans="1:16" ht="76.5" x14ac:dyDescent="0.2">
      <c r="A513" s="90" t="s">
        <v>453</v>
      </c>
      <c r="B513" s="74">
        <v>919</v>
      </c>
      <c r="C513" s="19" t="s">
        <v>52</v>
      </c>
      <c r="D513" s="19" t="s">
        <v>51</v>
      </c>
      <c r="E513" s="19" t="s">
        <v>452</v>
      </c>
      <c r="F513" s="19"/>
      <c r="G513" s="20">
        <f>G514</f>
        <v>144</v>
      </c>
      <c r="H513" s="20">
        <f>H514</f>
        <v>144</v>
      </c>
      <c r="I513" s="20">
        <f>I514</f>
        <v>144</v>
      </c>
    </row>
    <row r="514" spans="1:16" s="29" customFormat="1" x14ac:dyDescent="0.2">
      <c r="A514" s="89" t="s">
        <v>70</v>
      </c>
      <c r="B514" s="31">
        <v>919</v>
      </c>
      <c r="C514" s="27" t="s">
        <v>52</v>
      </c>
      <c r="D514" s="27" t="s">
        <v>51</v>
      </c>
      <c r="E514" s="27" t="s">
        <v>452</v>
      </c>
      <c r="F514" s="27" t="s">
        <v>71</v>
      </c>
      <c r="G514" s="28">
        <f>144</f>
        <v>144</v>
      </c>
      <c r="H514" s="28">
        <f>144</f>
        <v>144</v>
      </c>
      <c r="I514" s="28">
        <f>144</f>
        <v>144</v>
      </c>
      <c r="J514" s="23"/>
      <c r="K514" s="23"/>
      <c r="L514" s="23"/>
      <c r="M514" s="21"/>
      <c r="N514" s="21"/>
      <c r="O514" s="21"/>
      <c r="P514" s="21"/>
    </row>
    <row r="515" spans="1:16" s="15" customFormat="1" ht="15" x14ac:dyDescent="0.25">
      <c r="A515" s="41" t="s">
        <v>59</v>
      </c>
      <c r="B515" s="53"/>
      <c r="C515" s="42"/>
      <c r="D515" s="42"/>
      <c r="E515" s="42"/>
      <c r="F515" s="42"/>
      <c r="G515" s="43">
        <f>G445+G431+G323+G292+G194+G180+G171+G133+G105+G10</f>
        <v>2414660.7999999998</v>
      </c>
      <c r="H515" s="43">
        <f>H445+H431+H323+H292+H194+H180+H171+H133+H105+H10</f>
        <v>2160059.9</v>
      </c>
      <c r="I515" s="43">
        <f>I445+I431+I323+I292+I194+I180+I171+I133+I105+I10</f>
        <v>2242476</v>
      </c>
      <c r="J515" s="23"/>
      <c r="K515" s="23"/>
      <c r="L515" s="23"/>
      <c r="M515" s="21"/>
      <c r="N515" s="21"/>
      <c r="O515" s="21"/>
      <c r="P515" s="21"/>
    </row>
    <row r="516" spans="1:16" x14ac:dyDescent="0.2">
      <c r="G516" s="64"/>
      <c r="H516" s="64"/>
      <c r="I516" s="64"/>
      <c r="J516" s="23"/>
      <c r="K516" s="23"/>
      <c r="L516" s="23"/>
    </row>
    <row r="517" spans="1:16" x14ac:dyDescent="0.2">
      <c r="G517" s="64"/>
      <c r="H517" s="64"/>
      <c r="I517" s="64"/>
      <c r="J517" s="23"/>
      <c r="K517" s="23"/>
      <c r="L517" s="23"/>
    </row>
    <row r="518" spans="1:16" ht="25.5" x14ac:dyDescent="0.2">
      <c r="A518" s="40" t="s">
        <v>65</v>
      </c>
      <c r="B518" s="37"/>
      <c r="F518" s="64"/>
      <c r="G518" s="70"/>
      <c r="H518" s="70"/>
      <c r="I518" s="83" t="s">
        <v>81</v>
      </c>
      <c r="J518" s="23"/>
      <c r="K518" s="23"/>
      <c r="L518" s="23"/>
    </row>
    <row r="519" spans="1:16" x14ac:dyDescent="0.2">
      <c r="J519" s="23"/>
      <c r="K519" s="23"/>
      <c r="L519" s="23"/>
    </row>
    <row r="520" spans="1:16" x14ac:dyDescent="0.2">
      <c r="E520" s="37" t="s">
        <v>6</v>
      </c>
      <c r="J520" s="23"/>
      <c r="K520" s="23"/>
      <c r="L520" s="23"/>
    </row>
    <row r="521" spans="1:16" x14ac:dyDescent="0.2">
      <c r="G521" s="86"/>
      <c r="H521" s="86"/>
      <c r="I521" s="86"/>
      <c r="J521" s="23"/>
      <c r="K521" s="23"/>
      <c r="L521" s="23"/>
    </row>
    <row r="522" spans="1:16" x14ac:dyDescent="0.2">
      <c r="G522" s="64"/>
      <c r="H522" s="64"/>
      <c r="I522" s="64"/>
      <c r="J522" s="64"/>
      <c r="K522" s="23"/>
      <c r="L522" s="23"/>
    </row>
    <row r="523" spans="1:16" x14ac:dyDescent="0.2">
      <c r="G523" s="64"/>
      <c r="H523" s="64"/>
      <c r="I523" s="64"/>
      <c r="J523" s="23"/>
    </row>
    <row r="524" spans="1:16" x14ac:dyDescent="0.2">
      <c r="G524" s="64"/>
      <c r="H524" s="64"/>
      <c r="I524" s="64"/>
    </row>
    <row r="525" spans="1:16" x14ac:dyDescent="0.2">
      <c r="G525" s="64"/>
      <c r="H525" s="64"/>
      <c r="I525" s="64"/>
    </row>
    <row r="528" spans="1:16" x14ac:dyDescent="0.2">
      <c r="C528" s="21"/>
      <c r="D528" s="21"/>
      <c r="E528" s="21"/>
      <c r="F528" s="21"/>
      <c r="G528" s="21"/>
      <c r="H528" s="21"/>
      <c r="I528" s="21"/>
    </row>
    <row r="529" spans="3:9" x14ac:dyDescent="0.2">
      <c r="C529" s="21"/>
      <c r="D529" s="21"/>
      <c r="E529" s="21"/>
      <c r="F529" s="21"/>
      <c r="G529" s="21"/>
      <c r="H529" s="21"/>
      <c r="I529" s="21"/>
    </row>
    <row r="530" spans="3:9" x14ac:dyDescent="0.2">
      <c r="C530" s="21"/>
      <c r="D530" s="21"/>
      <c r="E530" s="21"/>
      <c r="F530" s="21"/>
      <c r="G530" s="21"/>
      <c r="H530" s="21"/>
      <c r="I530" s="21"/>
    </row>
    <row r="531" spans="3:9" x14ac:dyDescent="0.2">
      <c r="C531" s="21"/>
      <c r="D531" s="21"/>
      <c r="E531" s="21"/>
      <c r="F531" s="21"/>
      <c r="G531" s="21"/>
      <c r="H531" s="21"/>
      <c r="I531" s="21"/>
    </row>
  </sheetData>
  <mergeCells count="12">
    <mergeCell ref="H8:H9"/>
    <mergeCell ref="I8:I9"/>
    <mergeCell ref="A5:I5"/>
    <mergeCell ref="A6:I6"/>
    <mergeCell ref="A7:G7"/>
    <mergeCell ref="A8:A9"/>
    <mergeCell ref="B8:B9"/>
    <mergeCell ref="C8:C9"/>
    <mergeCell ref="D8:D9"/>
    <mergeCell ref="E8:E9"/>
    <mergeCell ref="F8:F9"/>
    <mergeCell ref="G8:G9"/>
  </mergeCells>
  <pageMargins left="0.78740157480314965" right="0.59055118110236227" top="0.59055118110236227" bottom="0.78740157480314965" header="0.15748031496062992" footer="0.15748031496062992"/>
  <pageSetup paperSize="9" scale="69" fitToHeight="10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Пр.6</vt:lpstr>
      <vt:lpstr>Лист1!Заголовки_для_печати</vt:lpstr>
      <vt:lpstr>Пр.6!Заголовки_для_печати</vt:lpstr>
      <vt:lpstr>Лист1!Область_печати</vt:lpstr>
      <vt:lpstr>Пр.6!Область_печати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2016-11-11T02:48:59Z</cp:lastPrinted>
  <dcterms:created xsi:type="dcterms:W3CDTF">2007-12-19T00:56:18Z</dcterms:created>
  <dcterms:modified xsi:type="dcterms:W3CDTF">2016-11-11T02:49:04Z</dcterms:modified>
</cp:coreProperties>
</file>