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-15" yWindow="105" windowWidth="14400" windowHeight="12735" firstSheet="2" activeTab="2"/>
  </bookViews>
  <sheets>
    <sheet name="август" sheetId="18" state="hidden" r:id="rId1"/>
    <sheet name="ноябрь 2017г." sheetId="28" state="hidden" r:id="rId2"/>
    <sheet name="ноябрь 2017г. на сайт" sheetId="29" r:id="rId3"/>
  </sheets>
  <definedNames>
    <definedName name="_xlnm.Print_Area" localSheetId="0">август!$A$1:$F$226</definedName>
    <definedName name="_xlnm.Print_Area" localSheetId="1">'ноябрь 2017г.'!$A$103:$F$212</definedName>
    <definedName name="_xlnm.Print_Area" localSheetId="2">'ноябрь 2017г. на сайт'!$A$72:$F$181</definedName>
  </definedNames>
  <calcPr calcId="145621"/>
</workbook>
</file>

<file path=xl/calcChain.xml><?xml version="1.0" encoding="utf-8"?>
<calcChain xmlns="http://schemas.openxmlformats.org/spreadsheetml/2006/main">
  <c r="F180" i="29"/>
  <c r="F179"/>
  <c r="F177"/>
  <c r="E176"/>
  <c r="F176" s="1"/>
  <c r="F175"/>
  <c r="F174"/>
  <c r="E173"/>
  <c r="F173" s="1"/>
  <c r="F172"/>
  <c r="F171"/>
  <c r="F170"/>
  <c r="F169"/>
  <c r="F168"/>
  <c r="F167"/>
  <c r="E166"/>
  <c r="F166" s="1"/>
  <c r="E165"/>
  <c r="F165" s="1"/>
  <c r="E164"/>
  <c r="F164" s="1"/>
  <c r="E163"/>
  <c r="F163" s="1"/>
  <c r="E162"/>
  <c r="F162" s="1"/>
  <c r="F161"/>
  <c r="F160"/>
  <c r="F158"/>
  <c r="F157"/>
  <c r="E156"/>
  <c r="F156" s="1"/>
  <c r="E155"/>
  <c r="F155" s="1"/>
  <c r="F154"/>
  <c r="E153"/>
  <c r="F153" s="1"/>
  <c r="E152"/>
  <c r="F152" s="1"/>
  <c r="F151"/>
  <c r="E150"/>
  <c r="F150" s="1"/>
  <c r="E149"/>
  <c r="F149" s="1"/>
  <c r="E148"/>
  <c r="F148" s="1"/>
  <c r="E147"/>
  <c r="F147" s="1"/>
  <c r="E146"/>
  <c r="F146" s="1"/>
  <c r="E145"/>
  <c r="F145" s="1"/>
  <c r="F144"/>
  <c r="E143"/>
  <c r="F143" s="1"/>
  <c r="F142"/>
  <c r="E141"/>
  <c r="F141" s="1"/>
  <c r="F140"/>
  <c r="E139"/>
  <c r="F139" s="1"/>
  <c r="F138"/>
  <c r="E137"/>
  <c r="F137" s="1"/>
  <c r="F136"/>
  <c r="F135"/>
  <c r="E134"/>
  <c r="F134" s="1"/>
  <c r="F133"/>
  <c r="E132"/>
  <c r="D132"/>
  <c r="E131"/>
  <c r="F131" s="1"/>
  <c r="E130"/>
  <c r="F130" s="1"/>
  <c r="F129"/>
  <c r="F128"/>
  <c r="E127"/>
  <c r="F127" s="1"/>
  <c r="F126"/>
  <c r="F125"/>
  <c r="F124"/>
  <c r="F123"/>
  <c r="F122"/>
  <c r="F121"/>
  <c r="F120"/>
  <c r="E119"/>
  <c r="F119" s="1"/>
  <c r="F118"/>
  <c r="E117"/>
  <c r="F117" s="1"/>
  <c r="F116"/>
  <c r="F115"/>
  <c r="E114"/>
  <c r="F114" s="1"/>
  <c r="F113"/>
  <c r="E112"/>
  <c r="D112"/>
  <c r="E111"/>
  <c r="F111" s="1"/>
  <c r="F110"/>
  <c r="F109"/>
  <c r="E108"/>
  <c r="F108" s="1"/>
  <c r="E107"/>
  <c r="F107" s="1"/>
  <c r="F106"/>
  <c r="F105"/>
  <c r="F104"/>
  <c r="F103"/>
  <c r="E102"/>
  <c r="F102" s="1"/>
  <c r="F101"/>
  <c r="E100"/>
  <c r="F100" s="1"/>
  <c r="F99"/>
  <c r="E98"/>
  <c r="F98" s="1"/>
  <c r="F97"/>
  <c r="E96"/>
  <c r="F96" s="1"/>
  <c r="F95"/>
  <c r="E94"/>
  <c r="F94" s="1"/>
  <c r="E93"/>
  <c r="F93" s="1"/>
  <c r="F92"/>
  <c r="F91"/>
  <c r="F90"/>
  <c r="F89"/>
  <c r="F88"/>
  <c r="F87"/>
  <c r="F86"/>
  <c r="F85"/>
  <c r="F84"/>
  <c r="F83"/>
  <c r="F82"/>
  <c r="F81"/>
  <c r="F80"/>
  <c r="F79"/>
  <c r="E78"/>
  <c r="F78" s="1"/>
  <c r="E77"/>
  <c r="F77" s="1"/>
  <c r="E76"/>
  <c r="F76" s="1"/>
  <c r="E75"/>
  <c r="F75" s="1"/>
  <c r="F74"/>
  <c r="E73"/>
  <c r="F73" s="1"/>
  <c r="E64"/>
  <c r="F63"/>
  <c r="D159" s="1"/>
  <c r="F159" s="1"/>
  <c r="F62"/>
  <c r="F61"/>
  <c r="F60"/>
  <c r="F59"/>
  <c r="E44"/>
  <c r="F132" l="1"/>
  <c r="F112"/>
  <c r="E181"/>
  <c r="F61" i="28"/>
  <c r="F62"/>
  <c r="E109"/>
  <c r="E107"/>
  <c r="E108"/>
  <c r="E104"/>
  <c r="E106"/>
  <c r="F59"/>
  <c r="B222" l="1"/>
  <c r="B220"/>
  <c r="B219"/>
  <c r="B218"/>
  <c r="E178" l="1"/>
  <c r="E176"/>
  <c r="E177"/>
  <c r="F203"/>
  <c r="F201"/>
  <c r="F211"/>
  <c r="F210"/>
  <c r="F202" l="1"/>
  <c r="E207"/>
  <c r="F207" s="1"/>
  <c r="E138"/>
  <c r="E133"/>
  <c r="F134"/>
  <c r="F135"/>
  <c r="F136"/>
  <c r="F123"/>
  <c r="E124"/>
  <c r="F141"/>
  <c r="E139"/>
  <c r="E129"/>
  <c r="F129" s="1"/>
  <c r="E197"/>
  <c r="F206" l="1"/>
  <c r="E204"/>
  <c r="F204" s="1"/>
  <c r="E184"/>
  <c r="E183"/>
  <c r="E181"/>
  <c r="E180"/>
  <c r="E179"/>
  <c r="E150" l="1"/>
  <c r="E145"/>
  <c r="E64" l="1"/>
  <c r="F63" l="1"/>
  <c r="D190" s="1"/>
  <c r="E194"/>
  <c r="E193"/>
  <c r="F126" l="1"/>
  <c r="E125"/>
  <c r="E196"/>
  <c r="F106"/>
  <c r="D163" l="1"/>
  <c r="D143"/>
  <c r="E195" l="1"/>
  <c r="F181" l="1"/>
  <c r="E44" l="1"/>
  <c r="F110" l="1"/>
  <c r="F111"/>
  <c r="F133" l="1"/>
  <c r="F105" l="1"/>
  <c r="F117" l="1"/>
  <c r="F118"/>
  <c r="F119"/>
  <c r="F120"/>
  <c r="B225" l="1"/>
  <c r="F60" l="1"/>
  <c r="B227" l="1"/>
  <c r="F225" l="1"/>
  <c r="F157"/>
  <c r="E148"/>
  <c r="F148" s="1"/>
  <c r="E142"/>
  <c r="F142" s="1"/>
  <c r="E163"/>
  <c r="F163" s="1"/>
  <c r="E161"/>
  <c r="E162"/>
  <c r="E143"/>
  <c r="F152"/>
  <c r="F151"/>
  <c r="F154"/>
  <c r="F153"/>
  <c r="E158"/>
  <c r="F146"/>
  <c r="E172"/>
  <c r="E165"/>
  <c r="F132" l="1"/>
  <c r="E131"/>
  <c r="E168"/>
  <c r="E174"/>
  <c r="F128"/>
  <c r="F130"/>
  <c r="F195" l="1"/>
  <c r="F125" l="1"/>
  <c r="F116" l="1"/>
  <c r="F189"/>
  <c r="F121"/>
  <c r="F122"/>
  <c r="F184" l="1"/>
  <c r="F183"/>
  <c r="F180"/>
  <c r="F159" l="1"/>
  <c r="F179" l="1"/>
  <c r="F182"/>
  <c r="F107"/>
  <c r="F104"/>
  <c r="E187"/>
  <c r="E186"/>
  <c r="F137"/>
  <c r="F114" l="1"/>
  <c r="F115"/>
  <c r="F108" l="1"/>
  <c r="F149"/>
  <c r="F139"/>
  <c r="F140"/>
  <c r="F196" l="1"/>
  <c r="E127"/>
  <c r="F124"/>
  <c r="F199"/>
  <c r="E170" l="1"/>
  <c r="F169"/>
  <c r="F167"/>
  <c r="F173"/>
  <c r="F166"/>
  <c r="F172"/>
  <c r="F161"/>
  <c r="F158"/>
  <c r="F147"/>
  <c r="F197" l="1"/>
  <c r="F178"/>
  <c r="F170"/>
  <c r="F168"/>
  <c r="F165"/>
  <c r="F175"/>
  <c r="F174"/>
  <c r="F171"/>
  <c r="F192" l="1"/>
  <c r="F193"/>
  <c r="F176" l="1"/>
  <c r="F177"/>
  <c r="F190" l="1"/>
  <c r="F162" l="1"/>
  <c r="F143" l="1"/>
  <c r="E212" l="1"/>
  <c r="F186"/>
  <c r="F198" l="1"/>
  <c r="F191"/>
  <c r="F112"/>
  <c r="F160" l="1"/>
  <c r="F156"/>
  <c r="F155"/>
  <c r="F113" l="1"/>
  <c r="F127"/>
  <c r="F145" l="1"/>
  <c r="F208" l="1"/>
  <c r="F164" l="1"/>
  <c r="F187" l="1"/>
  <c r="F188"/>
  <c r="F131" l="1"/>
  <c r="F194" l="1"/>
  <c r="F150" l="1"/>
  <c r="F200" l="1"/>
  <c r="F109" l="1"/>
  <c r="F218" l="1"/>
  <c r="F205" l="1"/>
  <c r="F185" l="1"/>
  <c r="F144"/>
  <c r="F138"/>
  <c r="E11" i="18"/>
  <c r="E12"/>
  <c r="E13"/>
  <c r="E14"/>
  <c r="E15"/>
  <c r="E16"/>
  <c r="E17"/>
  <c r="E18"/>
  <c r="E19"/>
  <c r="E20"/>
  <c r="E21"/>
  <c r="E22"/>
  <c r="E23"/>
  <c r="E24"/>
  <c r="F47"/>
  <c r="F48"/>
  <c r="F49"/>
  <c r="F50"/>
  <c r="F51"/>
  <c r="F52"/>
  <c r="E53"/>
  <c r="F53" s="1"/>
  <c r="E54"/>
  <c r="F54" s="1"/>
  <c r="F55"/>
  <c r="F56"/>
  <c r="F57"/>
  <c r="F58"/>
  <c r="F59"/>
  <c r="F60"/>
  <c r="G61"/>
  <c r="E121"/>
  <c r="E122"/>
  <c r="F122" s="1"/>
  <c r="E123"/>
  <c r="F123" s="1"/>
  <c r="E124"/>
  <c r="F124" s="1"/>
  <c r="E125"/>
  <c r="F125" s="1"/>
  <c r="F126"/>
  <c r="F127"/>
  <c r="F128"/>
  <c r="F129"/>
  <c r="F130"/>
  <c r="E131"/>
  <c r="F131" s="1"/>
  <c r="F132"/>
  <c r="F133"/>
  <c r="F134"/>
  <c r="F135"/>
  <c r="F136"/>
  <c r="F137"/>
  <c r="E138"/>
  <c r="F138" s="1"/>
  <c r="E139"/>
  <c r="F139" s="1"/>
  <c r="F140"/>
  <c r="F141"/>
  <c r="F142"/>
  <c r="F143"/>
  <c r="E144"/>
  <c r="F144" s="1"/>
  <c r="F145"/>
  <c r="E146"/>
  <c r="F146" s="1"/>
  <c r="F147"/>
  <c r="F148"/>
  <c r="F149"/>
  <c r="F150"/>
  <c r="F151"/>
  <c r="F152"/>
  <c r="F153"/>
  <c r="E154"/>
  <c r="F154" s="1"/>
  <c r="F155"/>
  <c r="F156"/>
  <c r="E157"/>
  <c r="F157" s="1"/>
  <c r="F158"/>
  <c r="E159"/>
  <c r="F159" s="1"/>
  <c r="F160"/>
  <c r="E161"/>
  <c r="F161" s="1"/>
  <c r="F162"/>
  <c r="F163"/>
  <c r="E164"/>
  <c r="F164" s="1"/>
  <c r="F165"/>
  <c r="F166"/>
  <c r="F167"/>
  <c r="F168"/>
  <c r="E169"/>
  <c r="F169" s="1"/>
  <c r="F170"/>
  <c r="E171"/>
  <c r="F171" s="1"/>
  <c r="E172"/>
  <c r="F172" s="1"/>
  <c r="E173"/>
  <c r="F173" s="1"/>
  <c r="F174"/>
  <c r="E175"/>
  <c r="F175" s="1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G195"/>
  <c r="I195"/>
  <c r="B202"/>
  <c r="B224" s="1"/>
  <c r="G203"/>
  <c r="F205"/>
  <c r="F212"/>
  <c r="F121"/>
  <c r="E25" l="1"/>
  <c r="E195"/>
  <c r="H195" s="1"/>
  <c r="J195" s="1"/>
  <c r="E61"/>
  <c r="F201" s="1"/>
  <c r="F224" s="1"/>
  <c r="F225" s="1"/>
  <c r="F227" i="28"/>
  <c r="G227" s="1"/>
  <c r="H61" i="18" l="1"/>
  <c r="M224"/>
  <c r="H203"/>
</calcChain>
</file>

<file path=xl/sharedStrings.xml><?xml version="1.0" encoding="utf-8"?>
<sst xmlns="http://schemas.openxmlformats.org/spreadsheetml/2006/main" count="804" uniqueCount="470">
  <si>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</si>
  <si>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</si>
  <si>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</si>
  <si>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</si>
  <si>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</si>
  <si>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</si>
  <si>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</si>
  <si>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</si>
  <si>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</si>
  <si>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</si>
  <si>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</si>
  <si>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</si>
  <si>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</si>
  <si>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</si>
  <si>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</si>
  <si>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</si>
  <si>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</si>
  <si>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</si>
  <si>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</si>
  <si>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</si>
  <si>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</si>
  <si>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</si>
  <si>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</si>
  <si>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</si>
  <si>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</si>
  <si>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</si>
  <si>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</si>
  <si>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</si>
  <si>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</si>
  <si>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</si>
  <si>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</si>
  <si>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</si>
  <si>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</si>
  <si>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</si>
  <si>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</si>
  <si>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</si>
  <si>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</si>
  <si>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</si>
  <si>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</si>
  <si>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</si>
  <si>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</si>
  <si>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</si>
  <si>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</si>
  <si>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</si>
  <si>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</si>
  <si>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</si>
  <si>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</si>
  <si>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</si>
  <si>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</si>
  <si>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</si>
  <si>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</si>
  <si>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</si>
  <si>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</si>
  <si>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</si>
  <si>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</si>
  <si>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</si>
  <si>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</si>
  <si>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</si>
  <si>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</si>
  <si>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</si>
  <si>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</si>
  <si>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</si>
  <si>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</si>
  <si>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</si>
  <si>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</si>
  <si>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</si>
  <si>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</si>
  <si>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</si>
  <si>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</si>
  <si>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</si>
  <si>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</si>
  <si>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</si>
  <si>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</si>
  <si>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</si>
  <si>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</si>
  <si>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</si>
  <si>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</si>
  <si>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</si>
  <si>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</si>
  <si>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</si>
  <si>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</si>
  <si>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</si>
  <si>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</si>
  <si>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</si>
  <si>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</si>
  <si>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</si>
  <si>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</si>
  <si>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</si>
  <si>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</si>
  <si>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</si>
  <si>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</si>
  <si>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</si>
  <si>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</si>
  <si>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</si>
  <si>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</si>
  <si>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</si>
  <si>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</si>
  <si>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</si>
  <si>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</si>
  <si>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</si>
  <si>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</si>
  <si>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</si>
  <si>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</si>
  <si>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</si>
  <si>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</si>
  <si>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</si>
  <si>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</si>
  <si>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</si>
  <si>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</si>
  <si>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</si>
  <si>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</si>
  <si>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</si>
  <si>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</si>
  <si>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</si>
  <si>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</si>
  <si>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</si>
  <si>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</si>
  <si>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</si>
  <si>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</si>
  <si>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</si>
  <si>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</si>
  <si>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</si>
  <si>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</si>
  <si>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</si>
  <si>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</si>
  <si>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</si>
  <si>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</si>
  <si>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</si>
  <si>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</si>
  <si>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</si>
  <si>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</si>
  <si>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</si>
  <si>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</si>
  <si>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</si>
  <si>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</si>
  <si>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</si>
  <si>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</si>
  <si>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</si>
  <si>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</si>
  <si>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</si>
  <si>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</si>
  <si>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</si>
  <si>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</si>
  <si>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</si>
  <si>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</si>
  <si>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</si>
  <si>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</si>
  <si>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</si>
  <si>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</si>
  <si>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</si>
  <si>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</si>
  <si>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</si>
  <si>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</si>
  <si>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</si>
  <si>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</si>
  <si>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</si>
  <si>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</si>
  <si>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</si>
  <si>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</si>
  <si>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</si>
  <si>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</si>
  <si>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</si>
  <si>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</si>
  <si>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</si>
  <si>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</si>
  <si>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</si>
  <si>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</si>
  <si>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</si>
  <si>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</si>
  <si>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</si>
  <si>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</si>
  <si>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</si>
  <si>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</si>
  <si>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</si>
  <si>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</si>
  <si>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</si>
  <si>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</si>
  <si>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</si>
  <si>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</si>
  <si>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</si>
  <si>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</si>
  <si>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</si>
  <si>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</si>
  <si>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</si>
  <si>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</si>
  <si>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</si>
  <si>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</si>
  <si>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</si>
  <si>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</si>
  <si>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</si>
  <si>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</si>
  <si>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</si>
  <si>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</si>
  <si>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</si>
  <si>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</si>
  <si>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</si>
  <si>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</si>
  <si>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</si>
  <si>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</si>
  <si>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</si>
  <si>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</si>
  <si>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</si>
  <si>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</si>
  <si>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</si>
  <si>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</si>
  <si>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</si>
  <si>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</si>
  <si>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</si>
  <si>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</si>
  <si>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</si>
  <si>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</si>
  <si>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</si>
  <si>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</si>
  <si>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</si>
  <si>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</si>
  <si>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</si>
  <si>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</si>
  <si>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</si>
  <si>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</si>
  <si>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</si>
  <si>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</si>
  <si>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</si>
  <si>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</si>
  <si>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</si>
  <si>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</si>
  <si>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</si>
  <si>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</si>
  <si>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</si>
  <si>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</si>
  <si>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</si>
  <si>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</si>
  <si>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</si>
  <si>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</si>
  <si>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</si>
  <si>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</si>
  <si>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</si>
  <si>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</si>
  <si>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</si>
  <si>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</si>
  <si>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</si>
  <si>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</si>
  <si>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</si>
  <si>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</si>
  <si>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</si>
  <si>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</si>
  <si>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>Дополнительно:</t>
  </si>
  <si>
    <t>911 0701 051 00 11202 600</t>
  </si>
  <si>
    <t>900 0104 011 00 11021 200</t>
  </si>
  <si>
    <t>855 0111 015 00 13071 800</t>
  </si>
  <si>
    <t>к  решению  «О внесении изменений в решение  Совета народных депутатов  Анжеро-Судженского городского округа от 30.12.2016  № 36 «О  бюджете  муниципального образования «Анжеро-Судженский городской округ» на 2017 год  и плановый 2018 и 2019годов»</t>
  </si>
  <si>
    <t>913 0801 060 00 11402 600</t>
  </si>
  <si>
    <t>С одного ГРБС на другого:</t>
  </si>
  <si>
    <t>919 0409 111 00 11121 600</t>
  </si>
  <si>
    <t>905 0113 020 00 19001 200</t>
  </si>
  <si>
    <t>911 0709 053 00 11521 600</t>
  </si>
  <si>
    <t>900 0104 011 00 11031 200</t>
  </si>
  <si>
    <t xml:space="preserve"> </t>
  </si>
  <si>
    <t>911 0702 051 00 11211 600</t>
  </si>
  <si>
    <t>Налоговые неналоговые доходы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</si>
  <si>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</si>
  <si>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</si>
  <si>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911 0702 051 00 71830 100</t>
  </si>
  <si>
    <t>911 0702 051 00 71830 600</t>
  </si>
  <si>
    <t>911 0709 051 00 13011 300</t>
  </si>
  <si>
    <t>915 1006 087 00 11005 300</t>
  </si>
  <si>
    <t>Е.Н.Зачиняева</t>
  </si>
  <si>
    <t>904 0703 051 00 15231 600</t>
  </si>
  <si>
    <t>915 1002 085 00 70170 100</t>
  </si>
  <si>
    <t>913 0703 051 00 11231 600</t>
  </si>
  <si>
    <t>913 0801 060 00 12411 600</t>
  </si>
  <si>
    <t>913 0801 060 00 13421 600</t>
  </si>
  <si>
    <t>911 0703 051 00 11231 600</t>
  </si>
  <si>
    <t>915 1006 081 00 11403 200</t>
  </si>
  <si>
    <t>915 1006 081 00 11403 300</t>
  </si>
  <si>
    <t>Субсидии, субвенции, дотация</t>
  </si>
  <si>
    <t>КФсиТ</t>
  </si>
  <si>
    <t>904 0709 051 00 15521 600</t>
  </si>
  <si>
    <t>904 1101 090 00 11013 600</t>
  </si>
  <si>
    <t>904 1101 090 00 11013 200</t>
  </si>
  <si>
    <t>904 1102 090 00 13012 200</t>
  </si>
  <si>
    <t>904 1105 090 00 11042 100</t>
  </si>
  <si>
    <t>919 0409 111 00 72690 600</t>
  </si>
  <si>
    <t>919 0409 112 00 11111 600</t>
  </si>
  <si>
    <t>919 0503 112 00 12111 600</t>
  </si>
  <si>
    <t>919 0409 111 00 S2690 600</t>
  </si>
  <si>
    <t>911 0701 051 00 11202 800</t>
  </si>
  <si>
    <t>911 0702 051 00 12221 800</t>
  </si>
  <si>
    <t>911 0709 053 00 11351 600</t>
  </si>
  <si>
    <t>911 0709 051 00 18221 100</t>
  </si>
  <si>
    <t>911 0709 051 00 18221 600</t>
  </si>
  <si>
    <t>904 1101 090 00 15232 600</t>
  </si>
  <si>
    <t>904 0703 032 00 11701 600</t>
  </si>
  <si>
    <t>904 1101 032 00 11701 600</t>
  </si>
  <si>
    <t>904 0703 051 00 13011 600</t>
  </si>
  <si>
    <t>904 0709 051 00 13011 600</t>
  </si>
  <si>
    <t>900 0501 044 00 12201 200</t>
  </si>
  <si>
    <t>900 1003 041 00 11501 400</t>
  </si>
  <si>
    <t>905 0113 020 00 13001 200</t>
  </si>
  <si>
    <t xml:space="preserve"> -по УСЗН на подпрограмму "Милосердие" на 50,0 т.р. т.р.;</t>
  </si>
  <si>
    <t>915 1006 081 00 13401 200</t>
  </si>
  <si>
    <t>фин.помощь УСЗН</t>
  </si>
  <si>
    <t>919 0409 117 00 11112 600</t>
  </si>
  <si>
    <t>900 0501 044 00 11201 400</t>
  </si>
  <si>
    <t>919 0402 103 00 14101 800</t>
  </si>
  <si>
    <t>919 0502 103 00 11203 800</t>
  </si>
  <si>
    <t xml:space="preserve"> - по распоряжению № 310-р от 12.09.17г "О проведении муниципального этапа областного конкурса "Самый классный классный"  в сумме 6,8 т.р.;
 - для оплаты технического присоединения к электрическим сетям д/с № 11 в Восточном районе в сумме 650,3 т.р.;
 - для приобретения ГСМ для поездки в Костенково в сумме 5,0 т.р.;</t>
  </si>
  <si>
    <t>911 0701 044 00 11201 600</t>
  </si>
  <si>
    <t>911 0701 044 00 12201 400</t>
  </si>
  <si>
    <t>911 0702 051 00 12051 200</t>
  </si>
  <si>
    <t>900 0113 033 00 11151 100</t>
  </si>
  <si>
    <t>900 0113 033 00 11151 200</t>
  </si>
  <si>
    <t>900 0104 011 00 11021 800</t>
  </si>
  <si>
    <t>900 0113 032 00 11701 600</t>
  </si>
  <si>
    <t>900 0113 130 00 11171 600</t>
  </si>
  <si>
    <t>905 0113 020 00 17002 200</t>
  </si>
  <si>
    <t>900 0102 011 00 11011 100</t>
  </si>
  <si>
    <t>913 0804 060 00 14521 800</t>
  </si>
  <si>
    <t>913 0804 060 00 14041 800</t>
  </si>
  <si>
    <t>911 0709 051 00 12021 600</t>
  </si>
  <si>
    <t>913 0804 060 00 14041 100</t>
  </si>
  <si>
    <t>913 0804 060 00 14521 100</t>
  </si>
  <si>
    <t>913 0804 060 00 14521 200</t>
  </si>
  <si>
    <t>900 0402 043 00 51560 300</t>
  </si>
  <si>
    <t>900 1003 043 00 51560 300</t>
  </si>
  <si>
    <t xml:space="preserve"> - для финансирования мер социальной поддержки семей, имеющих детей, в сумме 0,7 т.р.;</t>
  </si>
  <si>
    <t>915 1003 086 00 80010 200</t>
  </si>
  <si>
    <t>900 0113 015 00 94041 300</t>
  </si>
  <si>
    <t>3. В связи с подписанием соглашения  о реструктуризации задолженности муниципального образования перед областным бюджетом по бюджетным кредитам, предоставленным в 2015, 2016 и 2017 годах на покрытие временных кассовых разрывов, возникших при исполнении бюджетов городских округов, увеличивается строка "Погашение бюджетами городских округов кредитов от других бюджетов бюджетной системы Российской Федерации в валюте Российской Федерации" на 100,0 т.р.;</t>
  </si>
  <si>
    <t>Источники</t>
  </si>
  <si>
    <t>СНД</t>
  </si>
  <si>
    <t>907 0103 990 00 20111 100</t>
  </si>
  <si>
    <t>907 0103 990 00 20121 100</t>
  </si>
  <si>
    <t>905 0113 020 00 19001 800</t>
  </si>
  <si>
    <t>911 0701 051 00 11202 200</t>
  </si>
  <si>
    <t>911 0702 051 00 12221 200</t>
  </si>
  <si>
    <t>911 0701 051 00 71800 100</t>
  </si>
  <si>
    <t>911 0701 051 00 71800 600</t>
  </si>
  <si>
    <t>911 0702 052 00 11012 600</t>
  </si>
  <si>
    <t>911 0709 053 00 11521 800</t>
  </si>
  <si>
    <t>911 0702 051 00 12051 800</t>
  </si>
  <si>
    <t>УО платные и целевые</t>
  </si>
  <si>
    <t xml:space="preserve">Резервный фонд </t>
  </si>
  <si>
    <t>План на 2017 год</t>
  </si>
  <si>
    <t>Факт на 01.11.2017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</si>
  <si>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</si>
  <si>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288435,0 (по факту поступления на 01.11.2017г)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</si>
  <si>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</si>
  <si>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1423,0 (по факту поступления на 01.11.2017г)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</si>
  <si>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</si>
  <si>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1217,0 (по факту поступления на 01.11.2017г)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</si>
  <si>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</si>
  <si>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479,0 (по факту поступления на 01.11.2017г)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</si>
  <si>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</si>
  <si>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5498,0 (по факту поступления на 01.11.2017г)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</si>
  <si>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</si>
  <si>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58,0 (по факту поступления на 01.11.2017г)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</si>
  <si>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</si>
  <si>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9177,0 (по факту поступления на 01.11.2017г)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</si>
  <si>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</si>
  <si>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5132,0 (по факту поступления на 01.11.2017г)</t>
  </si>
  <si>
    <t>Государственная пошлина по делам, рассматриваемым в судах общей юрисдикции, мировыми судьями ( за исключением Верховного Суда РФ)</t>
  </si>
  <si>
    <t>8168,0 (по факту поступления на 01.11.2017г)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</si>
  <si>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</si>
  <si>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2,0 (по факту поступления на 01.11.2017г)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</si>
  <si>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</si>
  <si>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5193,0 (по факту поступления на 01.11.2017г)</t>
  </si>
  <si>
    <t>221,0 (по факту поступления на 01.11.2017г)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</si>
  <si>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</t>
  </si>
  <si>
    <t>341,0 (по факту поступления на 01.11.2017г)</t>
  </si>
  <si>
    <t>Государственная пошлина за выдачу разрешения на установку рекламной конструкции</t>
  </si>
  <si>
    <t>5,0 (по факту поступления на 01.11.2017г)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</si>
  <si>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</si>
  <si>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214,0 (по факту поступления на 01.11.2017г)</t>
  </si>
  <si>
    <t>Прочие доходы от оказания платных услуг (работ) получателями средств бюджетов городских округов</t>
  </si>
  <si>
    <t xml:space="preserve">Письмо УО от 08.11,2017 .№2317 </t>
  </si>
  <si>
    <t>Доходы, поступающие в порядке возмещения расходов, понесенных в связи с эксплуатацией имущества городских округов</t>
  </si>
  <si>
    <t>1842,0 (по факту поступления на 01.11.2017г)</t>
  </si>
  <si>
    <t xml:space="preserve">Прочие доходы от компенсации затрат бюджетов городских округов 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</si>
  <si>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 , в т.ч. казенных)</t>
  </si>
  <si>
    <t>Письмо КУМИ от 25.10.2017г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</si>
  <si>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</si>
  <si>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 xml:space="preserve">Письмо КУМИ от </t>
  </si>
  <si>
    <t>Денежные взыскания (штрафы) за нарушение законодательства о налогах и сборах, предусмотренные ст. 116, 118, 1191, п. 1 и 2 ст. 120, ст.125, 126, 128, 129, 1291, 132, 133, 134, 135, 1351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</t>
  </si>
  <si>
    <t>444,0 (по факту поступления на 01.11.2017г)</t>
  </si>
  <si>
    <t>19,0 (по факту поступления на 01.11.2017г)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</si>
  <si>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</si>
  <si>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0,0 (по факту поступления на 01.11.2017г)</t>
  </si>
  <si>
    <t>363,0 (по факту поступления на 01.11.2017г)</t>
  </si>
  <si>
    <t>7,0 (по факту поступления на 01.11.2017г)</t>
  </si>
  <si>
    <t>Денежные взыскания(штрафы) за нарушение законодательства в области окружающей среды</t>
  </si>
  <si>
    <t>15,0 (по факту поступления на 01.11.2017г)</t>
  </si>
  <si>
    <t>Денежные взыскания (штрафы) за нарушение земельного законодательства</t>
  </si>
  <si>
    <t>Денежные взыскания (штрафы) за нарушения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</si>
  <si>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1804,0 (по факту поступления на 01.11.2017г)</t>
  </si>
  <si>
    <t>Прочие денежные взыскания (штрафы) за правонарушения в области дорожного движения</t>
  </si>
  <si>
    <t>182,0 (по факту поступления на 01.11.2017г)</t>
  </si>
  <si>
    <t xml:space="preserve">Поступления  сумм в возмещение вреда, причиняемого автомобильным дорогам  транспортными средствами, осуществляющим перевозки тяжеловесных и  (или) крупногабаритных грузов  </t>
  </si>
  <si>
    <t>2708,0 (по факту поступления на 01.11.2017г)</t>
  </si>
  <si>
    <t>187,0 (по факту поступления на 01.11.2017г)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</si>
  <si>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</si>
  <si>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64,0 (по факту поступления на 01.11.2017г)</t>
  </si>
  <si>
    <t>4001,0 (по факту поступления на 01.11.2017г)</t>
  </si>
  <si>
    <t xml:space="preserve">итого налоговые неналоговые </t>
  </si>
  <si>
    <t>1. Изменения по доходам вносятся на 2017 год:</t>
  </si>
  <si>
    <t xml:space="preserve"> тыс.руб.</t>
  </si>
  <si>
    <t>1.2. Вносятся изменения в план по доходам налоговых и  неналоговых платежей на 2017 год:</t>
  </si>
  <si>
    <t>1.1.1.   субсидии увеличиваются на</t>
  </si>
  <si>
    <t xml:space="preserve">1.1.2 . субвенции  увеличиваются на </t>
  </si>
  <si>
    <t>900 0309 032 00 11701 200</t>
  </si>
  <si>
    <t>900 0309 032 00 12701 200</t>
  </si>
  <si>
    <t>900 0309 031 00 11002 100</t>
  </si>
  <si>
    <t>900 0309 031 00 11002 200</t>
  </si>
  <si>
    <t>900 0102 011 00 11011 200</t>
  </si>
  <si>
    <t>905 0412 020 00 11001 200</t>
  </si>
  <si>
    <t>905 0501 045 00 13003 200</t>
  </si>
  <si>
    <t>900 0104 015 00 79060 100</t>
  </si>
  <si>
    <t>900 0104 015 00 79060 200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</si>
  <si>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на 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 на 15000,0 т.р.;</t>
    </r>
  </si>
  <si>
    <r>
      <rPr>
        <b/>
        <sz val="14"/>
        <rFont val="Times New Roman"/>
        <family val="1"/>
        <charset val="204"/>
      </rPr>
      <t>По ГО и ЧС:</t>
    </r>
    <r>
      <rPr>
        <sz val="14"/>
        <rFont val="Times New Roman"/>
        <family val="1"/>
        <charset val="204"/>
      </rPr>
      <t xml:space="preserve">
 - для приобретения памяток по пожарной безопасности в сумме 2,2 т.р.;
 - для ремонта автомобиля в сумме 1,7 т.р.;</t>
    </r>
  </si>
  <si>
    <r>
      <rPr>
        <b/>
        <sz val="14"/>
        <rFont val="Times New Roman"/>
        <family val="1"/>
        <charset val="204"/>
      </rPr>
      <t>По ОООП:</t>
    </r>
    <r>
      <rPr>
        <sz val="14"/>
        <rFont val="Times New Roman"/>
        <family val="1"/>
        <charset val="204"/>
      </rPr>
      <t xml:space="preserve">
 - для оплаты услуг связи в сумме 1,5 т.р.;</t>
    </r>
  </si>
  <si>
    <r>
      <rPr>
        <b/>
        <sz val="14"/>
        <rFont val="Times New Roman"/>
        <family val="1"/>
        <charset val="204"/>
      </rPr>
      <t>По МФЦ:</t>
    </r>
    <r>
      <rPr>
        <sz val="14"/>
        <rFont val="Times New Roman"/>
        <family val="1"/>
        <charset val="204"/>
      </rPr>
      <t xml:space="preserve">
 - для оплаты за канцелярские товары в сумме 38,8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</si>
  <si>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 для оплаты за электроэнергию в сумме 1500,0 т.р.;</t>
    </r>
  </si>
  <si>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- для заключения договоров по оплате коммунальных услуг в сумме 157,0 т.р.;
 - для установки тахографа в автобус в сумме 29,2 т.р.;
 - для оплаты налога за имущества в сумме 0,7 т.р.;
 - для посещения областного семинара, подписки на журнал, возмещения коммунальных и эксплуатационных расходов по ДК "Сибирский" в сумме 116,3 т.р.;</t>
    </r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</si>
  <si>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в связи с передачей здания с баланса ДЮСШ "Буревестник" на баланс стадиона "Анжерский", необходимостью обслуживания здания комитета, переносятся ассигнования  в сумме 538,7 т.р.;
 - в связи с перерасчетом выслуги лет председателю комитета в сумме 71,4 т.р.;
 - в связи с преобразованием СДЮШОР в СШОР всумме 5819,2 т.р.;
 - для приобретения инвентаря на содержание здания по ул. Ленина, 11 в сумме 42,5 т.р.;</t>
    </r>
  </si>
  <si>
    <t xml:space="preserve"> - выплаты лицам, имеющим звание "Почетный гражданин"на 95,6 т.р.;</t>
  </si>
  <si>
    <t xml:space="preserve"> - для ремонта автомобиля Управления по делам ГО и ЧС на 58,1 т.р..</t>
  </si>
  <si>
    <r>
      <t xml:space="preserve">Уменьшаются расходы:
</t>
    </r>
    <r>
      <rPr>
        <sz val="14"/>
        <rFont val="Times New Roman"/>
        <family val="1"/>
        <charset val="204"/>
      </rPr>
      <t>По управлению образования за счет предпринимательской и иной приносящей доход деятельности на 763,2 т.р., по целевым средствам на 30,0 т.р. в соответствии с ожидаемым исполнением.</t>
    </r>
  </si>
  <si>
    <t xml:space="preserve"> - на гашение бюджетного кредита по  соглашению  о реструктуризации на 100,0 т.р..</t>
  </si>
  <si>
    <t>25,0 (по факту поступления на 01.11.2017г)</t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</si>
  <si>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для оплаты исполнительных листов, автоуслуг, налога на имущество в сумме 1084,5 т.р.;
 - по школам (субвенция) в связи с увеличением обучающихся в сумме 150,8 т.р. (перераспределение по видам расходов);</t>
    </r>
  </si>
  <si>
    <t>913 0804 060 00 14041 200</t>
  </si>
  <si>
    <t>В связи с отсутствием фактических расходов по итогам 10 мес 2017 г по резервному фонду уменьшаются расходы на 853,7 т.р., увеличиваются на:</t>
  </si>
  <si>
    <t xml:space="preserve"> - на  оказание адресной помощи гражданам по подпрограмме "Милосердие" на 50,0 т.р., на приобретение новогодних подарков 550,0 т.р.;</t>
  </si>
  <si>
    <t>900 0104 011 00 11021 100</t>
  </si>
  <si>
    <t>900 0501 043 00 14151 200</t>
  </si>
  <si>
    <t xml:space="preserve"> - для проведения ремонта аварийных простенков столовой в сумме 500,0 т.р.;
 - для оплаты коммунальных услуг в сумме 1559,0 т.р.;
 - для выполнения целевых назначений по субвенции на детские сады в сумме 175,3 т.р.;
 - для оплаты за фактические работы по детскому дому (субвенция) в сумме 300,0 т.р.;
 - для оплаты по акции "1сентября", конкурсу "Воспитатель года", за вывоз мусора в сумме 119,4 т.р.;</t>
  </si>
  <si>
    <t xml:space="preserve"> - для оказания адресной помощи гражданам города по подпрограме "Милосердие" в сумме 160,0 т.р.;
 - в связи с необходимостью выплаты компенсации в размере трехмесячного заработка при увольнении руководителя МКУ "Реабилитационный центр для детей и подростков с ограниченными возможностями" в сумме 29,9 т.р. (ст. 127, 278, 279 Трудового кодекса РФ, приказ УСЗН от 18.10.2017 №213-к);
 - в связи с необходимостью оплаты за питание МКУ "Реабилитационный центр для детей и подростков с ограниченными возможностями" в сумме 0,2 т.р.;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</si>
  <si>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дополнительную меру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 на 96,4 т.р.;
 - на осуществление полномочия по осуществлению ежегодной денежной выплаты лицам, награжденным нагрудным знаком "Почетный донор России" на 13,1 т.р.;</t>
    </r>
  </si>
  <si>
    <t xml:space="preserve"> - по Управлению образования на грант "Одаренный руководитель" и создание условий для модернизации учебно-спортивного тренажера "Башня" СЮТ на 450,0 т.р.;</t>
  </si>
  <si>
    <t>фин.помощь УО</t>
  </si>
  <si>
    <t xml:space="preserve"> - в связи с разъяснениями департамента бюджетной методологии и финансовой отчетности Министерства финансов РФ переносятся ассигнования по реализации программ местного развития и обеспечения занятости для шахтерских городов в сумме 407306,5 т.р. (из раздела 04-02 в раздел 10-03);
 - для приобретения канцрасходов по административной комиссии в сумме 7,4 т.р.;</t>
  </si>
  <si>
    <t xml:space="preserve"> - по УЖКХ на благоустройство п. Рудничный и проведение капитального ремонта муниципальных сетей п. Руднчного на 1050,0 т.р.; т.р.;</t>
  </si>
  <si>
    <t>919 0502 101 00 11301 200</t>
  </si>
  <si>
    <t>919 0503 115 00 11152 600</t>
  </si>
  <si>
    <t>фин.помощь УЖКХ</t>
  </si>
  <si>
    <t xml:space="preserve"> - для участия в софинансировании по ремонту дорог  в сумме 750,0 т.р.;
 - для оплаты за выполненные работы по обслуживанию систем видеофиксации в сумме 358,7 т.р.;
 - для оплаты задолженности ООО Теплоснабжение в сумме 5990,1 т.р.;
 - для оплаты за содержание дорог в сумме 3000,0 т.р;</t>
  </si>
  <si>
    <r>
      <rPr>
        <b/>
        <sz val="14"/>
        <rFont val="Times New Roman"/>
        <family val="1"/>
        <charset val="204"/>
      </rPr>
      <t>По СНД:</t>
    </r>
    <r>
      <rPr>
        <sz val="14"/>
        <rFont val="Times New Roman"/>
        <family val="1"/>
        <charset val="204"/>
      </rPr>
      <t xml:space="preserve">
 - для выплаты компенсации за неиспользованный отпуск заместителю председателя 5-го созыва в сумме 32,8 т.р.;
 - для проведения технических работ по содержанию автомобиля в сумме 16,8 т.р.;</t>
    </r>
  </si>
  <si>
    <t>907 0103 990 00 24001 200</t>
  </si>
  <si>
    <t xml:space="preserve"> - для оплаты техприсоединения д/с в Восточном районе  к централизованной системе горячего водоснабжения в сумме 3118,1 т.р.;</t>
  </si>
  <si>
    <t>911 0709 044 00 12201 400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</si>
  <si>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по подпрограмме "Обеспечение жильем социально незащищенных граждан" в сумме 1020,8 т.р.; для оплаты сноса ветхого жилья в сумме 98,2 т.р.; для оплаты техприсоединения в Восточном жилом районе в сумме 1508,0 т.р.;</t>
  </si>
  <si>
    <t>900 0501 044 00 11201 200</t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</si>
  <si>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для оплаты почтовых услуг и услуг по охране объектов, выставленных на продажу в сумме 130,0 т.р.; 
- для оплаты услуг МП "Наш город" в сумме 150,0 т.р.;
 - для оплаты услуг связи в сумме 10,0 т.р.;
 - для оплаты НО "Фонд капитального ремонта" в сумме 396,1 т.р.;</t>
    </r>
  </si>
  <si>
    <t>905 0113 020 00 18001 800</t>
  </si>
  <si>
    <t>905 0113 020 00 16001 800</t>
  </si>
  <si>
    <t>919 1006 081 00 14401 300</t>
  </si>
  <si>
    <t>919 0502 103 00 12402 800</t>
  </si>
  <si>
    <t xml:space="preserve"> - для оплаты задолженности за газ населению в сумме 80,0 т.р.;
 - для оплаты по фактически выполенным работам по строительству ПНС в Восточном районе в сумме 200,0 т.р.; по 2018 г - 13400,0 т.р.;</t>
  </si>
  <si>
    <t>919 0501 045 00 12202 800</t>
  </si>
  <si>
    <t>919 0502 101 00 12301 400</t>
  </si>
  <si>
    <t>2018г</t>
  </si>
  <si>
    <t xml:space="preserve"> - для оплаты по исполнительным листам в сумме 37,8 т.р.;
 - для оплаты за услуги связи , за обслуживание программного обеспечения в сумме 32,0 т.р.;
 - для доведения заработной платы до МРОТ в образовательных учреждениях культуры в сумме 189,3 т.р.;
 - для заправки картриджей, проведения мероприятий в сумме 6,4 т.р.;</t>
  </si>
  <si>
    <t>1.1.3. иные межбюджетные трансферты</t>
  </si>
  <si>
    <t>1.3.Кроме того   увеличиваются прочие безвозмездные поступления на сумму 1520, тыс.рублей.</t>
  </si>
  <si>
    <t>ВСЕГО доходов собственной базы 2017 год:  756,8 тыс.руб. (приложение к пояснительной записке)</t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</si>
  <si>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 на реализацию программ местного развития и обеспечение занятости для шахтерских городов и поселков на 100439,9 т.р.;</t>
    </r>
  </si>
  <si>
    <t xml:space="preserve"> - для оплаты хоз. материалов и транспортных услуг в сумме 180,2 т.р.;
 - для оплаты за шиномонтаж, возмещение коммунальных услуг, запчасти в сумме 102,1 т.р.;
 - для оплаты за услуги ДЭУ, установку и монтаж СИП кабеля в сумме 5,9 т.р.;
 - для оплаты за информационный киоск и замену стеклопакета в сумме 16,4 т.р.;
 - для оплаты по договорам ГПХ в сумме 80,0 т.р.;
 - для оплаты командировочных в сумме 95,0 т.р.;
 - для оплаты взносов в СМО,  за бумагу, ГСМ, зарядку огнетушителей и прочие расходы в сумме 195,9 т.р.</t>
  </si>
  <si>
    <t>1.1.На основании  уведомлений   Департамента ЖКиДК от 28.09.2017 № 56-09-17, Департамента социальной защиты населения от 01.11.2017 № 1286, от 16.11.2017 № 1300, ГФУ КО от 22.11.2017 № 4244:</t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</si>
  <si>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 На основании  уведомлений   Департамента ЖКиДК от 28.09.2017 № 56-09-17, Департамента социальной защиты населения от 01.11.17 № 1286, от 16.11.2017 №1300, ГФУ от 22.11.17 №4244:</t>
    </r>
  </si>
  <si>
    <t>2.2.  По ходатайствам бюджетных учреждений дополнительно: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</si>
</sst>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0"/>
    <numFmt numFmtId="166" formatCode="0.0000"/>
  </numFmts>
  <fonts count="34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Arial Cyr"/>
      <charset val="204"/>
    </font>
    <font>
      <b/>
      <u/>
      <sz val="14"/>
      <name val="Arial Cyr"/>
      <charset val="204"/>
    </font>
    <font>
      <i/>
      <sz val="14"/>
      <name val="Times New Roman"/>
      <family val="1"/>
      <charset val="204"/>
    </font>
    <font>
      <sz val="13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0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4" fillId="0" borderId="0" xfId="0" applyFont="1" applyFill="1"/>
    <xf numFmtId="0" fontId="26" fillId="0" borderId="0" xfId="0" applyFont="1" applyFill="1"/>
    <xf numFmtId="0" fontId="28" fillId="0" borderId="0" xfId="0" applyFont="1" applyFill="1" applyBorder="1" applyAlignment="1">
      <alignment horizontal="right"/>
    </xf>
    <xf numFmtId="0" fontId="26" fillId="0" borderId="0" xfId="0" applyFont="1" applyFill="1" applyAlignment="1">
      <alignment horizontal="right"/>
    </xf>
    <xf numFmtId="0" fontId="26" fillId="0" borderId="0" xfId="0" applyFont="1" applyFill="1" applyAlignment="1">
      <alignment vertical="center"/>
    </xf>
    <xf numFmtId="49" fontId="27" fillId="0" borderId="1" xfId="0" applyNumberFormat="1" applyFont="1" applyFill="1" applyBorder="1"/>
    <xf numFmtId="0" fontId="27" fillId="0" borderId="1" xfId="0" applyFont="1" applyFill="1" applyBorder="1"/>
    <xf numFmtId="164" fontId="27" fillId="0" borderId="1" xfId="0" applyNumberFormat="1" applyFont="1" applyFill="1" applyBorder="1"/>
    <xf numFmtId="49" fontId="27" fillId="0" borderId="0" xfId="0" applyNumberFormat="1" applyFont="1" applyFill="1" applyBorder="1"/>
    <xf numFmtId="49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164" fontId="27" fillId="0" borderId="0" xfId="0" applyNumberFormat="1" applyFont="1" applyFill="1" applyBorder="1"/>
    <xf numFmtId="0" fontId="30" fillId="0" borderId="0" xfId="0" applyFont="1" applyFill="1"/>
    <xf numFmtId="0" fontId="26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49" fontId="28" fillId="0" borderId="0" xfId="0" applyNumberFormat="1" applyFont="1" applyFill="1" applyBorder="1" applyAlignment="1">
      <alignment wrapText="1"/>
    </xf>
    <xf numFmtId="49" fontId="28" fillId="0" borderId="0" xfId="0" applyNumberFormat="1" applyFont="1" applyFill="1" applyBorder="1" applyAlignment="1">
      <alignment horizontal="right" wrapText="1"/>
    </xf>
    <xf numFmtId="165" fontId="26" fillId="0" borderId="0" xfId="0" applyNumberFormat="1" applyFont="1" applyFill="1"/>
    <xf numFmtId="166" fontId="26" fillId="0" borderId="0" xfId="0" applyNumberFormat="1" applyFont="1" applyFill="1"/>
    <xf numFmtId="0" fontId="27" fillId="0" borderId="1" xfId="0" applyFont="1" applyFill="1" applyBorder="1" applyAlignment="1">
      <alignment horizontal="left"/>
    </xf>
    <xf numFmtId="164" fontId="26" fillId="0" borderId="0" xfId="0" applyNumberFormat="1" applyFont="1" applyFill="1"/>
    <xf numFmtId="2" fontId="32" fillId="0" borderId="0" xfId="0" applyNumberFormat="1" applyFont="1" applyFill="1" applyBorder="1" applyAlignment="1">
      <alignment horizontal="left" wrapText="1"/>
    </xf>
    <xf numFmtId="164" fontId="28" fillId="0" borderId="0" xfId="0" applyNumberFormat="1" applyFont="1" applyFill="1" applyBorder="1" applyAlignment="1">
      <alignment horizontal="right" wrapText="1"/>
    </xf>
    <xf numFmtId="164" fontId="27" fillId="0" borderId="1" xfId="0" applyNumberFormat="1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vertical="center"/>
    </xf>
    <xf numFmtId="0" fontId="28" fillId="0" borderId="0" xfId="0" applyFont="1" applyFill="1" applyAlignment="1">
      <alignment horizontal="center" vertical="top" wrapText="1"/>
    </xf>
    <xf numFmtId="0" fontId="28" fillId="0" borderId="1" xfId="0" applyFont="1" applyFill="1" applyBorder="1" applyAlignment="1">
      <alignment horizontal="left" wrapText="1"/>
    </xf>
    <xf numFmtId="164" fontId="28" fillId="0" borderId="1" xfId="0" applyNumberFormat="1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left" wrapText="1"/>
    </xf>
    <xf numFmtId="164" fontId="25" fillId="0" borderId="1" xfId="0" applyNumberFormat="1" applyFont="1" applyFill="1" applyBorder="1" applyAlignment="1">
      <alignment horizontal="right" wrapText="1"/>
    </xf>
    <xf numFmtId="164" fontId="28" fillId="0" borderId="1" xfId="0" applyNumberFormat="1" applyFont="1" applyFill="1" applyBorder="1" applyAlignment="1">
      <alignment horizontal="right"/>
    </xf>
    <xf numFmtId="164" fontId="28" fillId="0" borderId="1" xfId="0" applyNumberFormat="1" applyFont="1" applyFill="1" applyBorder="1"/>
    <xf numFmtId="0" fontId="28" fillId="0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left"/>
    </xf>
    <xf numFmtId="0" fontId="33" fillId="0" borderId="1" xfId="0" applyFont="1" applyFill="1" applyBorder="1"/>
    <xf numFmtId="0" fontId="33" fillId="0" borderId="7" xfId="0" applyFont="1" applyFill="1" applyBorder="1"/>
    <xf numFmtId="0" fontId="28" fillId="0" borderId="1" xfId="0" applyFont="1" applyFill="1" applyBorder="1"/>
    <xf numFmtId="49" fontId="4" fillId="0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164" fontId="28" fillId="0" borderId="1" xfId="0" applyNumberFormat="1" applyFont="1" applyFill="1" applyBorder="1" applyAlignment="1">
      <alignment horizontal="right" vertical="center"/>
    </xf>
    <xf numFmtId="164" fontId="28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wrapText="1"/>
    </xf>
    <xf numFmtId="0" fontId="28" fillId="0" borderId="2" xfId="0" applyFont="1" applyFill="1" applyBorder="1" applyAlignment="1">
      <alignment vertical="center" wrapText="1"/>
    </xf>
    <xf numFmtId="164" fontId="28" fillId="0" borderId="1" xfId="0" applyNumberFormat="1" applyFont="1" applyFill="1" applyBorder="1" applyAlignment="1"/>
    <xf numFmtId="164" fontId="28" fillId="0" borderId="1" xfId="0" applyNumberFormat="1" applyFont="1" applyFill="1" applyBorder="1" applyAlignment="1">
      <alignment horizontal="right" vertical="center" wrapText="1"/>
    </xf>
    <xf numFmtId="0" fontId="25" fillId="0" borderId="0" xfId="0" applyNumberFormat="1" applyFont="1" applyFill="1" applyBorder="1" applyAlignment="1">
      <alignment horizontal="left" vertical="top" wrapText="1"/>
    </xf>
    <xf numFmtId="0" fontId="26" fillId="0" borderId="1" xfId="0" applyFont="1" applyFill="1" applyBorder="1"/>
    <xf numFmtId="164" fontId="28" fillId="0" borderId="1" xfId="0" applyNumberFormat="1" applyFont="1" applyFill="1" applyBorder="1" applyAlignment="1">
      <alignment horizontal="left"/>
    </xf>
    <xf numFmtId="0" fontId="28" fillId="0" borderId="0" xfId="0" applyFont="1" applyFill="1"/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vertical="center" wrapText="1"/>
    </xf>
    <xf numFmtId="0" fontId="23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center" vertical="top" wrapText="1"/>
    </xf>
    <xf numFmtId="0" fontId="28" fillId="0" borderId="0" xfId="0" applyFont="1" applyFill="1" applyAlignment="1">
      <alignment horizontal="left"/>
    </xf>
    <xf numFmtId="0" fontId="28" fillId="0" borderId="0" xfId="0" applyFont="1" applyFill="1" applyAlignment="1">
      <alignment horizontal="left" vertical="top" wrapText="1"/>
    </xf>
    <xf numFmtId="164" fontId="28" fillId="0" borderId="0" xfId="0" applyNumberFormat="1" applyFont="1" applyFill="1" applyAlignment="1">
      <alignment horizontal="center" vertical="top" wrapText="1"/>
    </xf>
    <xf numFmtId="0" fontId="28" fillId="0" borderId="0" xfId="0" applyFont="1" applyFill="1" applyAlignment="1">
      <alignment horizontal="center"/>
    </xf>
    <xf numFmtId="164" fontId="28" fillId="0" borderId="2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left" wrapText="1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top" wrapText="1"/>
    </xf>
    <xf numFmtId="0" fontId="28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5" fillId="0" borderId="0" xfId="0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wrapText="1"/>
    </xf>
    <xf numFmtId="0" fontId="28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25" fillId="0" borderId="0" xfId="0" applyNumberFormat="1" applyFont="1" applyFill="1" applyAlignment="1">
      <alignment horizontal="left" wrapText="1"/>
    </xf>
    <xf numFmtId="0" fontId="28" fillId="0" borderId="2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left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5" fillId="0" borderId="6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28" fillId="0" borderId="2" xfId="0" applyNumberFormat="1" applyFont="1" applyFill="1" applyBorder="1" applyAlignment="1">
      <alignment horizontal="right" vertical="center"/>
    </xf>
    <xf numFmtId="164" fontId="28" fillId="0" borderId="8" xfId="0" applyNumberFormat="1" applyFont="1" applyFill="1" applyBorder="1" applyAlignment="1">
      <alignment horizontal="right" vertical="center"/>
    </xf>
    <xf numFmtId="164" fontId="28" fillId="0" borderId="9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/>
    </xf>
    <xf numFmtId="0" fontId="26" fillId="0" borderId="11" xfId="0" applyFont="1" applyFill="1" applyBorder="1" applyAlignment="1">
      <alignment horizontal="left"/>
    </xf>
    <xf numFmtId="0" fontId="26" fillId="0" borderId="7" xfId="0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wrapText="1"/>
    </xf>
    <xf numFmtId="49" fontId="28" fillId="0" borderId="0" xfId="0" applyNumberFormat="1" applyFont="1" applyFill="1" applyBorder="1" applyAlignment="1">
      <alignment horizontal="left"/>
    </xf>
    <xf numFmtId="0" fontId="23" fillId="0" borderId="0" xfId="0" applyNumberFormat="1" applyFont="1" applyFill="1" applyAlignment="1">
      <alignment horizontal="left" wrapText="1"/>
    </xf>
    <xf numFmtId="49" fontId="27" fillId="0" borderId="1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top" wrapText="1"/>
    </xf>
    <xf numFmtId="0" fontId="28" fillId="0" borderId="0" xfId="0" applyFont="1" applyFill="1" applyAlignment="1">
      <alignment horizontal="left"/>
    </xf>
    <xf numFmtId="0" fontId="28" fillId="0" borderId="0" xfId="0" applyFont="1" applyFill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5" fillId="0" borderId="0" xfId="0" applyNumberFormat="1" applyFont="1" applyFill="1" applyBorder="1" applyAlignment="1">
      <alignment horizontal="left" vertical="top" wrapText="1"/>
    </xf>
    <xf numFmtId="164" fontId="28" fillId="0" borderId="0" xfId="0" applyNumberFormat="1" applyFont="1" applyFill="1" applyAlignment="1">
      <alignment horizontal="right" wrapText="1"/>
    </xf>
    <xf numFmtId="49" fontId="27" fillId="0" borderId="1" xfId="0" applyNumberFormat="1" applyFont="1" applyFill="1" applyBorder="1" applyAlignment="1">
      <alignment horizontal="left"/>
    </xf>
    <xf numFmtId="0" fontId="28" fillId="0" borderId="1" xfId="0" applyFont="1" applyFill="1" applyBorder="1" applyAlignment="1">
      <alignment horizontal="left" vertical="top" wrapText="1"/>
    </xf>
    <xf numFmtId="164" fontId="28" fillId="0" borderId="1" xfId="0" applyNumberFormat="1" applyFont="1" applyFill="1" applyBorder="1" applyAlignment="1">
      <alignment horizontal="right" vertical="top"/>
    </xf>
    <xf numFmtId="0" fontId="28" fillId="0" borderId="6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3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>
      <c r="A1" s="159" t="s">
        <v>0</v>
      </c>
      <c r="B1" s="159"/>
      <c r="C1" s="159"/>
      <c r="D1" s="159"/>
      <c r="E1" s="159"/>
      <c r="F1" s="159"/>
    </row>
    <row r="2" spans="1:8" ht="66.75" customHeight="1">
      <c r="A2" s="160" t="s">
        <v>79</v>
      </c>
      <c r="B2" s="160"/>
      <c r="C2" s="160"/>
      <c r="D2" s="160"/>
      <c r="E2" s="160"/>
      <c r="F2" s="160"/>
    </row>
    <row r="3" spans="1:8" ht="15.75" customHeight="1">
      <c r="A3" s="156" t="s">
        <v>90</v>
      </c>
      <c r="B3" s="156"/>
      <c r="C3" s="156"/>
      <c r="D3" s="156"/>
      <c r="E3" s="156"/>
      <c r="F3" s="156"/>
      <c r="G3" s="6"/>
      <c r="H3" s="6"/>
    </row>
    <row r="4" spans="1:8" ht="65.25" customHeight="1">
      <c r="A4" s="161" t="s">
        <v>222</v>
      </c>
      <c r="B4" s="161"/>
      <c r="C4" s="161"/>
      <c r="D4" s="161"/>
      <c r="E4" s="161"/>
      <c r="F4" s="161"/>
      <c r="G4" s="6"/>
      <c r="H4" s="6"/>
    </row>
    <row r="5" spans="1:8" ht="18.75" customHeight="1">
      <c r="A5" s="162" t="s">
        <v>233</v>
      </c>
      <c r="B5" s="162"/>
      <c r="C5" s="162"/>
      <c r="D5" s="162"/>
      <c r="E5" s="162"/>
      <c r="F5" s="162"/>
      <c r="G5" s="6"/>
      <c r="H5" s="6"/>
    </row>
    <row r="6" spans="1:8" ht="18.75" customHeight="1">
      <c r="A6" s="162" t="s">
        <v>234</v>
      </c>
      <c r="B6" s="162"/>
      <c r="C6" s="162"/>
      <c r="D6" s="162"/>
      <c r="E6" s="162"/>
      <c r="F6" s="162"/>
      <c r="G6" s="6"/>
      <c r="H6" s="6"/>
    </row>
    <row r="7" spans="1:8" ht="17.25" customHeight="1">
      <c r="A7" s="162" t="s">
        <v>235</v>
      </c>
      <c r="B7" s="162"/>
      <c r="C7" s="162"/>
      <c r="D7" s="162"/>
      <c r="E7" s="162"/>
      <c r="F7" s="162"/>
      <c r="G7" s="6"/>
      <c r="H7" s="6"/>
    </row>
    <row r="8" spans="1:8" ht="15.75" customHeight="1">
      <c r="A8" s="156" t="s">
        <v>236</v>
      </c>
      <c r="B8" s="156"/>
      <c r="C8" s="156"/>
      <c r="D8" s="156"/>
      <c r="E8" s="156"/>
      <c r="F8" s="156"/>
      <c r="G8" s="6"/>
      <c r="H8" s="6"/>
    </row>
    <row r="9" spans="1:8" ht="35.25" customHeight="1">
      <c r="A9" s="163" t="s">
        <v>91</v>
      </c>
      <c r="B9" s="163"/>
      <c r="C9" s="163"/>
      <c r="D9" s="163"/>
      <c r="E9" s="163"/>
      <c r="F9" s="163"/>
      <c r="G9" s="6"/>
      <c r="H9" s="6"/>
    </row>
    <row r="10" spans="1:8" ht="33.75" customHeight="1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>
      <c r="A26" s="25"/>
      <c r="B26" s="25"/>
      <c r="C26" s="25"/>
      <c r="D26" s="25"/>
      <c r="E26" s="25"/>
      <c r="F26" s="25"/>
      <c r="G26" s="6"/>
      <c r="H26" s="6"/>
    </row>
    <row r="27" spans="1:8" ht="54" customHeight="1">
      <c r="A27" s="164" t="s">
        <v>242</v>
      </c>
      <c r="B27" s="164"/>
      <c r="C27" s="164"/>
      <c r="D27" s="164"/>
      <c r="E27" s="164"/>
      <c r="F27" s="164"/>
      <c r="G27" s="6"/>
      <c r="H27" s="6"/>
    </row>
    <row r="28" spans="1:8" ht="28.5" customHeight="1">
      <c r="A28" s="155" t="s">
        <v>243</v>
      </c>
      <c r="B28" s="155"/>
      <c r="C28" s="155"/>
      <c r="D28" s="155"/>
      <c r="E28" s="155"/>
      <c r="F28" s="155"/>
      <c r="G28" s="6"/>
      <c r="H28" s="6"/>
    </row>
    <row r="29" spans="1:8" ht="19.5" customHeight="1">
      <c r="A29" s="155"/>
      <c r="B29" s="155"/>
      <c r="C29" s="155"/>
      <c r="D29" s="155"/>
      <c r="E29" s="155"/>
      <c r="F29" s="155"/>
      <c r="G29" s="6"/>
      <c r="H29" s="6"/>
    </row>
    <row r="30" spans="1:8" ht="20.25" customHeight="1">
      <c r="A30" s="157" t="s">
        <v>238</v>
      </c>
      <c r="B30" s="157"/>
      <c r="C30" s="157"/>
      <c r="D30" s="157"/>
      <c r="E30" s="157"/>
      <c r="F30" s="157"/>
    </row>
    <row r="31" spans="1:8" ht="52.5" customHeight="1">
      <c r="A31" s="156" t="s">
        <v>239</v>
      </c>
      <c r="B31" s="156"/>
      <c r="C31" s="156"/>
      <c r="D31" s="156"/>
      <c r="E31" s="156"/>
      <c r="F31" s="156"/>
    </row>
    <row r="32" spans="1:8" ht="21.75" customHeight="1">
      <c r="A32" s="158" t="s">
        <v>31</v>
      </c>
      <c r="B32" s="158"/>
      <c r="C32" s="158"/>
      <c r="D32" s="158"/>
      <c r="E32" s="158"/>
      <c r="F32" s="158"/>
    </row>
    <row r="33" spans="1:6" ht="102.75" customHeight="1">
      <c r="A33" s="156" t="s">
        <v>197</v>
      </c>
      <c r="B33" s="156"/>
      <c r="C33" s="156"/>
      <c r="D33" s="156"/>
      <c r="E33" s="156"/>
      <c r="F33" s="156"/>
    </row>
    <row r="34" spans="1:6" ht="17.25" customHeight="1">
      <c r="A34" s="156" t="s">
        <v>38</v>
      </c>
      <c r="B34" s="156"/>
      <c r="C34" s="156"/>
      <c r="D34" s="156"/>
      <c r="E34" s="156"/>
      <c r="F34" s="156"/>
    </row>
    <row r="35" spans="1:6" ht="35.25" customHeight="1">
      <c r="A35" s="156" t="s">
        <v>108</v>
      </c>
      <c r="B35" s="156"/>
      <c r="C35" s="156"/>
      <c r="D35" s="156"/>
      <c r="E35" s="156"/>
      <c r="F35" s="156"/>
    </row>
    <row r="36" spans="1:6" ht="35.25" customHeight="1">
      <c r="A36" s="156" t="s">
        <v>196</v>
      </c>
      <c r="B36" s="156"/>
      <c r="C36" s="156"/>
      <c r="D36" s="156"/>
      <c r="E36" s="156"/>
      <c r="F36" s="156"/>
    </row>
    <row r="37" spans="1:6" ht="21.75" customHeight="1">
      <c r="A37" s="156" t="s">
        <v>72</v>
      </c>
      <c r="B37" s="156"/>
      <c r="C37" s="156"/>
      <c r="D37" s="156"/>
      <c r="E37" s="156"/>
      <c r="F37" s="156"/>
    </row>
    <row r="38" spans="1:6" ht="84" customHeight="1">
      <c r="A38" s="156" t="s">
        <v>195</v>
      </c>
      <c r="B38" s="156"/>
      <c r="C38" s="156"/>
      <c r="D38" s="156"/>
      <c r="E38" s="156"/>
      <c r="F38" s="156"/>
    </row>
    <row r="39" spans="1:6" s="67" customFormat="1" ht="65.25" customHeight="1">
      <c r="A39" s="165" t="s">
        <v>113</v>
      </c>
      <c r="B39" s="165"/>
      <c r="C39" s="165"/>
      <c r="D39" s="165"/>
      <c r="E39" s="165"/>
      <c r="F39" s="165"/>
    </row>
    <row r="40" spans="1:6" ht="19.5" customHeight="1">
      <c r="A40" s="156" t="s">
        <v>37</v>
      </c>
      <c r="B40" s="156"/>
      <c r="C40" s="156"/>
      <c r="D40" s="156"/>
      <c r="E40" s="156"/>
      <c r="F40" s="156"/>
    </row>
    <row r="41" spans="1:6" ht="17.25" customHeight="1">
      <c r="A41" s="156" t="s">
        <v>70</v>
      </c>
      <c r="B41" s="156"/>
      <c r="C41" s="156"/>
      <c r="D41" s="156"/>
      <c r="E41" s="156"/>
      <c r="F41" s="156"/>
    </row>
    <row r="42" spans="1:6" ht="87" customHeight="1">
      <c r="A42" s="156" t="s">
        <v>226</v>
      </c>
      <c r="B42" s="156"/>
      <c r="C42" s="156"/>
      <c r="D42" s="156"/>
      <c r="E42" s="156"/>
      <c r="F42" s="156"/>
    </row>
    <row r="43" spans="1:6" ht="19.5" customHeight="1">
      <c r="A43" s="156" t="s">
        <v>72</v>
      </c>
      <c r="B43" s="156"/>
      <c r="C43" s="156"/>
      <c r="D43" s="156"/>
      <c r="E43" s="156"/>
      <c r="F43" s="156"/>
    </row>
    <row r="44" spans="1:6" ht="68.25" customHeight="1">
      <c r="A44" s="156" t="s">
        <v>128</v>
      </c>
      <c r="B44" s="156"/>
      <c r="C44" s="156"/>
      <c r="D44" s="156"/>
      <c r="E44" s="156"/>
      <c r="F44" s="156"/>
    </row>
    <row r="45" spans="1:6" ht="12.75" customHeight="1">
      <c r="A45" s="12"/>
      <c r="B45" s="12"/>
      <c r="C45" s="12"/>
      <c r="D45" s="12"/>
      <c r="E45" s="12"/>
      <c r="F45" s="10" t="s">
        <v>7</v>
      </c>
    </row>
    <row r="46" spans="1:6" s="19" customFormat="1" ht="24" customHeight="1">
      <c r="A46" s="17" t="s">
        <v>1</v>
      </c>
      <c r="B46" s="170" t="s">
        <v>2</v>
      </c>
      <c r="C46" s="170"/>
      <c r="D46" s="17" t="s">
        <v>3</v>
      </c>
      <c r="E46" s="17" t="s">
        <v>4</v>
      </c>
      <c r="F46" s="17" t="s">
        <v>5</v>
      </c>
    </row>
    <row r="47" spans="1:6" s="26" customFormat="1" ht="15" customHeight="1">
      <c r="A47" s="168" t="s">
        <v>30</v>
      </c>
      <c r="B47" s="166" t="s">
        <v>117</v>
      </c>
      <c r="C47" s="167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>
      <c r="A48" s="171"/>
      <c r="B48" s="166" t="s">
        <v>95</v>
      </c>
      <c r="C48" s="167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>
      <c r="A49" s="168" t="s">
        <v>8</v>
      </c>
      <c r="B49" s="166" t="s">
        <v>118</v>
      </c>
      <c r="C49" s="167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>
      <c r="A50" s="169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>
      <c r="A51" s="169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>
      <c r="A52" s="168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>
      <c r="A53" s="169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>
      <c r="A54" s="169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>
      <c r="A55" s="169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>
      <c r="A56" s="169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>
      <c r="A57" s="169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>
      <c r="A58" s="169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>
      <c r="A59" s="169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>
      <c r="A60" s="171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>
      <c r="A61" s="7" t="s">
        <v>6</v>
      </c>
      <c r="B61" s="172"/>
      <c r="C61" s="172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>
      <c r="A62" s="2"/>
      <c r="B62" s="3"/>
      <c r="C62" s="3"/>
      <c r="D62" s="4"/>
      <c r="E62" s="1"/>
      <c r="F62" s="4"/>
    </row>
    <row r="63" spans="1:8" ht="22.5" customHeight="1">
      <c r="A63" s="173" t="s">
        <v>29</v>
      </c>
      <c r="B63" s="173"/>
      <c r="C63" s="173"/>
      <c r="D63" s="173"/>
      <c r="E63" s="173"/>
      <c r="F63" s="173"/>
    </row>
    <row r="64" spans="1:8" ht="106.5" customHeight="1">
      <c r="A64" s="174" t="s">
        <v>240</v>
      </c>
      <c r="B64" s="174"/>
      <c r="C64" s="174"/>
      <c r="D64" s="174"/>
      <c r="E64" s="174"/>
      <c r="F64" s="174"/>
    </row>
    <row r="65" spans="1:6" ht="65.25" customHeight="1">
      <c r="A65" s="175" t="s">
        <v>198</v>
      </c>
      <c r="B65" s="174"/>
      <c r="C65" s="174"/>
      <c r="D65" s="174"/>
      <c r="E65" s="174"/>
      <c r="F65" s="174"/>
    </row>
    <row r="66" spans="1:6" ht="36.75" customHeight="1">
      <c r="A66" s="175" t="s">
        <v>121</v>
      </c>
      <c r="B66" s="174"/>
      <c r="C66" s="174"/>
      <c r="D66" s="174"/>
      <c r="E66" s="174"/>
      <c r="F66" s="174"/>
    </row>
    <row r="67" spans="1:6" ht="68.25" customHeight="1">
      <c r="A67" s="175" t="s">
        <v>171</v>
      </c>
      <c r="B67" s="175"/>
      <c r="C67" s="175"/>
      <c r="D67" s="175"/>
      <c r="E67" s="175"/>
      <c r="F67" s="175"/>
    </row>
    <row r="68" spans="1:6" ht="87.75" customHeight="1">
      <c r="A68" s="175" t="s">
        <v>227</v>
      </c>
      <c r="B68" s="175"/>
      <c r="C68" s="175"/>
      <c r="D68" s="175"/>
      <c r="E68" s="175"/>
      <c r="F68" s="175"/>
    </row>
    <row r="69" spans="1:6" ht="20.25" customHeight="1">
      <c r="A69" s="177" t="s">
        <v>32</v>
      </c>
      <c r="B69" s="177"/>
      <c r="C69" s="177"/>
      <c r="D69" s="177"/>
      <c r="E69" s="177"/>
      <c r="F69" s="177"/>
    </row>
    <row r="70" spans="1:6" ht="114" customHeight="1">
      <c r="A70" s="176" t="s">
        <v>201</v>
      </c>
      <c r="B70" s="176"/>
      <c r="C70" s="176"/>
      <c r="D70" s="176"/>
      <c r="E70" s="176"/>
      <c r="F70" s="176"/>
    </row>
    <row r="71" spans="1:6" ht="71.25" customHeight="1">
      <c r="A71" s="176" t="s">
        <v>190</v>
      </c>
      <c r="B71" s="176"/>
      <c r="C71" s="176"/>
      <c r="D71" s="176"/>
      <c r="E71" s="176"/>
      <c r="F71" s="176"/>
    </row>
    <row r="72" spans="1:6" ht="83.25" customHeight="1">
      <c r="A72" s="176" t="s">
        <v>228</v>
      </c>
      <c r="B72" s="176"/>
      <c r="C72" s="176"/>
      <c r="D72" s="176"/>
      <c r="E72" s="176"/>
      <c r="F72" s="176"/>
    </row>
    <row r="73" spans="1:6" ht="38.25" customHeight="1">
      <c r="A73" s="176" t="s">
        <v>191</v>
      </c>
      <c r="B73" s="176"/>
      <c r="C73" s="176"/>
      <c r="D73" s="176"/>
      <c r="E73" s="176"/>
      <c r="F73" s="176"/>
    </row>
    <row r="74" spans="1:6" ht="82.5" customHeight="1">
      <c r="A74" s="176" t="s">
        <v>202</v>
      </c>
      <c r="B74" s="176"/>
      <c r="C74" s="176"/>
      <c r="D74" s="176"/>
      <c r="E74" s="176"/>
      <c r="F74" s="176"/>
    </row>
    <row r="75" spans="1:6" ht="18.75" customHeight="1">
      <c r="A75" s="177" t="s">
        <v>35</v>
      </c>
      <c r="B75" s="177"/>
      <c r="C75" s="177"/>
      <c r="D75" s="177"/>
      <c r="E75" s="177"/>
      <c r="F75" s="177"/>
    </row>
    <row r="76" spans="1:6" ht="20.25" customHeight="1">
      <c r="A76" s="176" t="s">
        <v>80</v>
      </c>
      <c r="B76" s="176"/>
      <c r="C76" s="176"/>
      <c r="D76" s="176"/>
      <c r="E76" s="176"/>
      <c r="F76" s="176"/>
    </row>
    <row r="77" spans="1:6" ht="87" customHeight="1">
      <c r="A77" s="176" t="s">
        <v>186</v>
      </c>
      <c r="B77" s="176"/>
      <c r="C77" s="176"/>
      <c r="D77" s="176"/>
      <c r="E77" s="176"/>
      <c r="F77" s="176"/>
    </row>
    <row r="78" spans="1:6" ht="48" customHeight="1">
      <c r="A78" s="176" t="s">
        <v>203</v>
      </c>
      <c r="B78" s="176"/>
      <c r="C78" s="176"/>
      <c r="D78" s="176"/>
      <c r="E78" s="176"/>
      <c r="F78" s="176"/>
    </row>
    <row r="79" spans="1:6" ht="48.75" customHeight="1">
      <c r="A79" s="176" t="s">
        <v>126</v>
      </c>
      <c r="B79" s="176"/>
      <c r="C79" s="176"/>
      <c r="D79" s="176"/>
      <c r="E79" s="176"/>
      <c r="F79" s="176"/>
    </row>
    <row r="80" spans="1:6" ht="48.75" customHeight="1">
      <c r="A80" s="176" t="s">
        <v>184</v>
      </c>
      <c r="B80" s="176"/>
      <c r="C80" s="176"/>
      <c r="D80" s="176"/>
      <c r="E80" s="176"/>
      <c r="F80" s="176"/>
    </row>
    <row r="81" spans="1:6" ht="48.75" customHeight="1">
      <c r="A81" s="176" t="s">
        <v>204</v>
      </c>
      <c r="B81" s="176"/>
      <c r="C81" s="176"/>
      <c r="D81" s="176"/>
      <c r="E81" s="176"/>
      <c r="F81" s="176"/>
    </row>
    <row r="82" spans="1:6" ht="21" customHeight="1">
      <c r="A82" s="178" t="s">
        <v>199</v>
      </c>
      <c r="B82" s="178"/>
      <c r="C82" s="178"/>
      <c r="D82" s="178"/>
      <c r="E82" s="178"/>
      <c r="F82" s="178"/>
    </row>
    <row r="83" spans="1:6" ht="20.25" customHeight="1">
      <c r="A83" s="176" t="s">
        <v>80</v>
      </c>
      <c r="B83" s="176"/>
      <c r="C83" s="176"/>
      <c r="D83" s="176"/>
      <c r="E83" s="176"/>
      <c r="F83" s="176"/>
    </row>
    <row r="84" spans="1:6" ht="68.25" customHeight="1">
      <c r="A84" s="175" t="s">
        <v>200</v>
      </c>
      <c r="B84" s="175"/>
      <c r="C84" s="175"/>
      <c r="D84" s="175"/>
      <c r="E84" s="175"/>
      <c r="F84" s="175"/>
    </row>
    <row r="85" spans="1:6" ht="24.75" hidden="1" customHeight="1">
      <c r="A85" s="177" t="s">
        <v>85</v>
      </c>
      <c r="B85" s="177"/>
      <c r="C85" s="177"/>
      <c r="D85" s="177"/>
      <c r="E85" s="177"/>
      <c r="F85" s="177"/>
    </row>
    <row r="86" spans="1:6" ht="18" customHeight="1">
      <c r="A86" s="174" t="s">
        <v>31</v>
      </c>
      <c r="B86" s="174"/>
      <c r="C86" s="174"/>
      <c r="D86" s="174"/>
      <c r="E86" s="174"/>
      <c r="F86" s="174"/>
    </row>
    <row r="87" spans="1:6" ht="32.25" customHeight="1">
      <c r="A87" s="179" t="s">
        <v>129</v>
      </c>
      <c r="B87" s="179"/>
      <c r="C87" s="179"/>
      <c r="D87" s="179"/>
      <c r="E87" s="179"/>
      <c r="F87" s="179"/>
    </row>
    <row r="88" spans="1:6" ht="18" customHeight="1">
      <c r="A88" s="47" t="s">
        <v>86</v>
      </c>
      <c r="B88" s="46"/>
      <c r="C88" s="46"/>
      <c r="D88" s="46"/>
      <c r="E88" s="46"/>
      <c r="F88" s="46"/>
    </row>
    <row r="89" spans="1:6" ht="36" customHeight="1">
      <c r="A89" s="175" t="s">
        <v>130</v>
      </c>
      <c r="B89" s="175"/>
      <c r="C89" s="175"/>
      <c r="D89" s="175"/>
      <c r="E89" s="175"/>
      <c r="F89" s="175"/>
    </row>
    <row r="90" spans="1:6" ht="21" customHeight="1">
      <c r="A90" s="175" t="s">
        <v>224</v>
      </c>
      <c r="B90" s="175"/>
      <c r="C90" s="175"/>
      <c r="D90" s="175"/>
      <c r="E90" s="175"/>
      <c r="F90" s="175"/>
    </row>
    <row r="91" spans="1:6" ht="21" customHeight="1">
      <c r="A91" s="175" t="s">
        <v>131</v>
      </c>
      <c r="B91" s="175"/>
      <c r="C91" s="175"/>
      <c r="D91" s="175"/>
      <c r="E91" s="175"/>
      <c r="F91" s="175"/>
    </row>
    <row r="92" spans="1:6" ht="21" customHeight="1">
      <c r="A92" s="175" t="s">
        <v>150</v>
      </c>
      <c r="B92" s="175"/>
      <c r="C92" s="175"/>
      <c r="D92" s="175"/>
      <c r="E92" s="175"/>
      <c r="F92" s="175"/>
    </row>
    <row r="93" spans="1:6" ht="21" customHeight="1">
      <c r="A93" s="175" t="s">
        <v>132</v>
      </c>
      <c r="B93" s="175"/>
      <c r="C93" s="175"/>
      <c r="D93" s="175"/>
      <c r="E93" s="175"/>
      <c r="F93" s="175"/>
    </row>
    <row r="94" spans="1:6" ht="39" customHeight="1">
      <c r="A94" s="175" t="s">
        <v>133</v>
      </c>
      <c r="B94" s="175"/>
      <c r="C94" s="175"/>
      <c r="D94" s="175"/>
      <c r="E94" s="175"/>
      <c r="F94" s="175"/>
    </row>
    <row r="95" spans="1:6" ht="72.75" customHeight="1">
      <c r="A95" s="175" t="s">
        <v>229</v>
      </c>
      <c r="B95" s="175"/>
      <c r="C95" s="175"/>
      <c r="D95" s="175"/>
      <c r="E95" s="175"/>
      <c r="F95" s="175"/>
    </row>
    <row r="96" spans="1:6" ht="18" customHeight="1">
      <c r="A96" s="47" t="s">
        <v>109</v>
      </c>
      <c r="B96" s="46"/>
      <c r="C96" s="46"/>
      <c r="D96" s="46"/>
      <c r="E96" s="46"/>
      <c r="F96" s="46"/>
    </row>
    <row r="97" spans="1:6" ht="21" customHeight="1">
      <c r="A97" s="175" t="s">
        <v>134</v>
      </c>
      <c r="B97" s="175"/>
      <c r="C97" s="175"/>
      <c r="D97" s="175"/>
      <c r="E97" s="175"/>
      <c r="F97" s="175"/>
    </row>
    <row r="98" spans="1:6" ht="21" customHeight="1">
      <c r="A98" s="175" t="s">
        <v>135</v>
      </c>
      <c r="B98" s="175"/>
      <c r="C98" s="175"/>
      <c r="D98" s="175"/>
      <c r="E98" s="175"/>
      <c r="F98" s="175"/>
    </row>
    <row r="99" spans="1:6" ht="18" customHeight="1">
      <c r="A99" s="47" t="s">
        <v>34</v>
      </c>
      <c r="B99" s="46"/>
      <c r="C99" s="46"/>
      <c r="D99" s="46"/>
      <c r="E99" s="46"/>
      <c r="F99" s="46"/>
    </row>
    <row r="100" spans="1:6" ht="21" customHeight="1">
      <c r="A100" s="175" t="s">
        <v>136</v>
      </c>
      <c r="B100" s="175"/>
      <c r="C100" s="175"/>
      <c r="D100" s="175"/>
      <c r="E100" s="175"/>
      <c r="F100" s="175"/>
    </row>
    <row r="101" spans="1:6" ht="18" customHeight="1">
      <c r="A101" s="47" t="s">
        <v>14</v>
      </c>
      <c r="B101" s="46"/>
      <c r="C101" s="46"/>
      <c r="D101" s="46"/>
      <c r="E101" s="46"/>
      <c r="F101" s="46"/>
    </row>
    <row r="102" spans="1:6" ht="21" customHeight="1">
      <c r="A102" s="175" t="s">
        <v>137</v>
      </c>
      <c r="B102" s="175"/>
      <c r="C102" s="175"/>
      <c r="D102" s="175"/>
      <c r="E102" s="175"/>
      <c r="F102" s="175"/>
    </row>
    <row r="103" spans="1:6" ht="21" customHeight="1">
      <c r="A103" s="175" t="s">
        <v>225</v>
      </c>
      <c r="B103" s="175"/>
      <c r="C103" s="175"/>
      <c r="D103" s="175"/>
      <c r="E103" s="175"/>
      <c r="F103" s="175"/>
    </row>
    <row r="104" spans="1:6" ht="18" customHeight="1">
      <c r="A104" s="47" t="s">
        <v>8</v>
      </c>
      <c r="B104" s="46"/>
      <c r="C104" s="46"/>
      <c r="D104" s="46"/>
      <c r="E104" s="46"/>
      <c r="F104" s="46"/>
    </row>
    <row r="105" spans="1:6" ht="21" customHeight="1">
      <c r="A105" s="175" t="s">
        <v>143</v>
      </c>
      <c r="B105" s="175"/>
      <c r="C105" s="175"/>
      <c r="D105" s="175"/>
      <c r="E105" s="175"/>
      <c r="F105" s="175"/>
    </row>
    <row r="106" spans="1:6" ht="18" customHeight="1">
      <c r="A106" s="47" t="s">
        <v>26</v>
      </c>
      <c r="B106" s="46"/>
      <c r="C106" s="46"/>
      <c r="D106" s="46"/>
      <c r="E106" s="46"/>
      <c r="F106" s="46"/>
    </row>
    <row r="107" spans="1:6" ht="21" customHeight="1">
      <c r="A107" s="175" t="s">
        <v>138</v>
      </c>
      <c r="B107" s="175"/>
      <c r="C107" s="175"/>
      <c r="D107" s="175"/>
      <c r="E107" s="175"/>
      <c r="F107" s="175"/>
    </row>
    <row r="108" spans="1:6" ht="32.25" customHeight="1">
      <c r="A108" s="175" t="s">
        <v>141</v>
      </c>
      <c r="B108" s="175"/>
      <c r="C108" s="175"/>
      <c r="D108" s="175"/>
      <c r="E108" s="175"/>
      <c r="F108" s="175"/>
    </row>
    <row r="109" spans="1:6" ht="21" customHeight="1">
      <c r="A109" s="175" t="s">
        <v>139</v>
      </c>
      <c r="B109" s="175"/>
      <c r="C109" s="175"/>
      <c r="D109" s="175"/>
      <c r="E109" s="175"/>
      <c r="F109" s="175"/>
    </row>
    <row r="110" spans="1:6" ht="21" customHeight="1">
      <c r="A110" s="175" t="s">
        <v>140</v>
      </c>
      <c r="B110" s="175"/>
      <c r="C110" s="175"/>
      <c r="D110" s="175"/>
      <c r="E110" s="175"/>
      <c r="F110" s="175"/>
    </row>
    <row r="111" spans="1:6" ht="18" customHeight="1">
      <c r="A111" s="179" t="s">
        <v>87</v>
      </c>
      <c r="B111" s="179"/>
      <c r="C111" s="179"/>
      <c r="D111" s="179"/>
      <c r="E111" s="179"/>
      <c r="F111" s="179"/>
    </row>
    <row r="112" spans="1:6" ht="51" customHeight="1">
      <c r="A112" s="180" t="s">
        <v>174</v>
      </c>
      <c r="B112" s="180"/>
      <c r="C112" s="180"/>
      <c r="D112" s="180"/>
      <c r="E112" s="180"/>
      <c r="F112" s="180"/>
    </row>
    <row r="113" spans="1:14" ht="18" customHeight="1">
      <c r="A113" s="179" t="s">
        <v>81</v>
      </c>
      <c r="B113" s="179"/>
      <c r="C113" s="179"/>
      <c r="D113" s="179"/>
      <c r="E113" s="179"/>
      <c r="F113" s="179"/>
    </row>
    <row r="114" spans="1:14" s="68" customFormat="1" ht="18" customHeight="1">
      <c r="A114" s="180" t="s">
        <v>86</v>
      </c>
      <c r="B114" s="180"/>
      <c r="C114" s="180"/>
      <c r="D114" s="180"/>
      <c r="E114" s="180"/>
      <c r="F114" s="180"/>
    </row>
    <row r="115" spans="1:14" ht="34.5" customHeight="1">
      <c r="A115" s="180" t="s">
        <v>175</v>
      </c>
      <c r="B115" s="180"/>
      <c r="C115" s="180"/>
      <c r="D115" s="180"/>
      <c r="E115" s="180"/>
      <c r="F115" s="180"/>
    </row>
    <row r="116" spans="1:14" ht="18" customHeight="1">
      <c r="A116" s="179" t="s">
        <v>194</v>
      </c>
      <c r="B116" s="179"/>
      <c r="C116" s="179"/>
      <c r="D116" s="179"/>
      <c r="E116" s="179"/>
      <c r="F116" s="179"/>
    </row>
    <row r="117" spans="1:14" s="68" customFormat="1" ht="18" customHeight="1">
      <c r="A117" s="180" t="s">
        <v>230</v>
      </c>
      <c r="B117" s="180"/>
      <c r="C117" s="180"/>
      <c r="D117" s="180"/>
      <c r="E117" s="180"/>
      <c r="F117" s="180"/>
    </row>
    <row r="118" spans="1:14" ht="17.25" customHeight="1">
      <c r="A118" s="180" t="s">
        <v>231</v>
      </c>
      <c r="B118" s="180"/>
      <c r="C118" s="180"/>
      <c r="D118" s="180"/>
      <c r="E118" s="180"/>
      <c r="F118" s="180"/>
    </row>
    <row r="119" spans="1:14" s="11" customFormat="1" ht="14.25" customHeight="1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>
      <c r="A120" s="17" t="s">
        <v>1</v>
      </c>
      <c r="B120" s="170" t="s">
        <v>2</v>
      </c>
      <c r="C120" s="170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>
      <c r="A121" s="168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>
      <c r="A122" s="169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>
      <c r="A123" s="169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>
      <c r="A124" s="169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>
      <c r="A125" s="169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>
      <c r="A126" s="169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>
      <c r="A127" s="169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>
      <c r="A128" s="169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>
      <c r="A129" s="169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>
      <c r="A130" s="169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>
      <c r="A131" s="169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>
      <c r="A132" s="169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>
      <c r="A133" s="169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>
      <c r="A134" s="169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>
      <c r="A135" s="169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>
      <c r="A136" s="169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>
      <c r="A137" s="169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>
      <c r="A138" s="169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>
      <c r="A139" s="169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>
      <c r="A140" s="169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>
      <c r="A141" s="169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>
      <c r="A142" s="169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>
      <c r="A143" s="169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>
      <c r="A144" s="183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>
      <c r="A145" s="183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>
      <c r="A146" s="183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>
      <c r="A147" s="183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>
      <c r="A148" s="183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>
      <c r="A149" s="183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>
      <c r="A150" s="183"/>
      <c r="B150" s="184" t="s">
        <v>123</v>
      </c>
      <c r="C150" s="185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>
      <c r="A151" s="183"/>
      <c r="B151" s="181" t="s">
        <v>125</v>
      </c>
      <c r="C151" s="182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>
      <c r="A152" s="183"/>
      <c r="B152" s="181" t="s">
        <v>152</v>
      </c>
      <c r="C152" s="182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>
      <c r="A153" s="183"/>
      <c r="B153" s="181" t="s">
        <v>192</v>
      </c>
      <c r="C153" s="182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>
      <c r="A154" s="183"/>
      <c r="B154" s="181" t="s">
        <v>124</v>
      </c>
      <c r="C154" s="182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>
      <c r="A155" s="168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>
      <c r="A156" s="169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>
      <c r="A157" s="169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>
      <c r="A158" s="169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>
      <c r="A159" s="169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>
      <c r="A160" s="169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>
      <c r="A161" s="169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>
      <c r="A162" s="169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>
      <c r="A163" s="169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>
      <c r="A164" s="169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>
      <c r="A165" s="169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>
      <c r="A166" s="169"/>
      <c r="B166" s="181" t="s">
        <v>142</v>
      </c>
      <c r="C166" s="182"/>
      <c r="D166" s="36">
        <v>2640.2</v>
      </c>
      <c r="E166" s="39">
        <v>670.6</v>
      </c>
      <c r="F166" s="40">
        <f t="shared" si="4"/>
        <v>3310.7999999999997</v>
      </c>
    </row>
    <row r="167" spans="1:13" ht="15.75">
      <c r="A167" s="169"/>
      <c r="B167" s="181" t="s">
        <v>177</v>
      </c>
      <c r="C167" s="182"/>
      <c r="D167" s="36">
        <v>4080.5</v>
      </c>
      <c r="E167" s="39">
        <v>1</v>
      </c>
      <c r="F167" s="40">
        <f t="shared" si="4"/>
        <v>4081.5</v>
      </c>
    </row>
    <row r="168" spans="1:13" ht="15.75">
      <c r="A168" s="169"/>
      <c r="B168" s="181" t="s">
        <v>176</v>
      </c>
      <c r="C168" s="182"/>
      <c r="D168" s="36">
        <v>397</v>
      </c>
      <c r="E168" s="39">
        <v>-1</v>
      </c>
      <c r="F168" s="40">
        <f t="shared" si="4"/>
        <v>396</v>
      </c>
    </row>
    <row r="169" spans="1:13" ht="15.75">
      <c r="A169" s="171"/>
      <c r="B169" s="181" t="s">
        <v>182</v>
      </c>
      <c r="C169" s="182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>
      <c r="A170" s="183" t="s">
        <v>14</v>
      </c>
      <c r="B170" s="181" t="s">
        <v>54</v>
      </c>
      <c r="C170" s="182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>
      <c r="A171" s="183"/>
      <c r="B171" s="181" t="s">
        <v>40</v>
      </c>
      <c r="C171" s="182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>
      <c r="A172" s="183"/>
      <c r="B172" s="181" t="s">
        <v>42</v>
      </c>
      <c r="C172" s="182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>
      <c r="A173" s="183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>
      <c r="A174" s="183"/>
      <c r="B174" s="181" t="s">
        <v>73</v>
      </c>
      <c r="C174" s="182"/>
      <c r="D174" s="36">
        <v>731.69999999999993</v>
      </c>
      <c r="E174" s="39">
        <v>213.6</v>
      </c>
      <c r="F174" s="35">
        <f t="shared" si="2"/>
        <v>945.3</v>
      </c>
    </row>
    <row r="175" spans="1:13" ht="15.75">
      <c r="A175" s="183"/>
      <c r="B175" s="181" t="s">
        <v>41</v>
      </c>
      <c r="C175" s="182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>
      <c r="A176" s="71"/>
      <c r="B176" s="181" t="s">
        <v>74</v>
      </c>
      <c r="C176" s="182"/>
      <c r="D176" s="36">
        <v>0</v>
      </c>
      <c r="E176" s="39"/>
      <c r="F176" s="35">
        <f t="shared" si="2"/>
        <v>0</v>
      </c>
    </row>
    <row r="177" spans="1:6" ht="15.75">
      <c r="A177" s="168" t="s">
        <v>25</v>
      </c>
      <c r="B177" s="181" t="s">
        <v>116</v>
      </c>
      <c r="C177" s="182"/>
      <c r="D177" s="39">
        <v>16</v>
      </c>
      <c r="E177" s="39">
        <v>1.22</v>
      </c>
      <c r="F177" s="35">
        <f t="shared" si="2"/>
        <v>17.22</v>
      </c>
    </row>
    <row r="178" spans="1:6" ht="15.75">
      <c r="A178" s="169"/>
      <c r="B178" s="181" t="s">
        <v>115</v>
      </c>
      <c r="C178" s="182"/>
      <c r="D178" s="39">
        <v>15</v>
      </c>
      <c r="E178" s="39">
        <v>-1.22</v>
      </c>
      <c r="F178" s="35">
        <f t="shared" si="2"/>
        <v>13.78</v>
      </c>
    </row>
    <row r="179" spans="1:6" ht="15.75">
      <c r="A179" s="169"/>
      <c r="B179" s="181" t="s">
        <v>101</v>
      </c>
      <c r="C179" s="182"/>
      <c r="D179" s="39">
        <v>5945.1</v>
      </c>
      <c r="E179" s="39">
        <v>-34.1</v>
      </c>
      <c r="F179" s="35">
        <f t="shared" si="2"/>
        <v>5911</v>
      </c>
    </row>
    <row r="180" spans="1:6" ht="15.75">
      <c r="A180" s="169"/>
      <c r="B180" s="181" t="s">
        <v>100</v>
      </c>
      <c r="C180" s="182"/>
      <c r="D180" s="39">
        <v>222</v>
      </c>
      <c r="E180" s="39">
        <v>34.1</v>
      </c>
      <c r="F180" s="35">
        <f t="shared" si="2"/>
        <v>256.10000000000002</v>
      </c>
    </row>
    <row r="181" spans="1:6" ht="15.75">
      <c r="A181" s="169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>
      <c r="A182" s="171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>
      <c r="A183" s="44" t="s">
        <v>36</v>
      </c>
      <c r="B183" s="181" t="s">
        <v>71</v>
      </c>
      <c r="C183" s="182"/>
      <c r="D183" s="36">
        <v>1316.8</v>
      </c>
      <c r="E183" s="39">
        <v>797.6</v>
      </c>
      <c r="F183" s="35">
        <f>SUM(D183:E183)</f>
        <v>2114.4</v>
      </c>
    </row>
    <row r="184" spans="1:6" ht="15.75">
      <c r="A184" s="168" t="s">
        <v>26</v>
      </c>
      <c r="B184" s="181" t="s">
        <v>93</v>
      </c>
      <c r="C184" s="182"/>
      <c r="D184" s="36">
        <v>790.2</v>
      </c>
      <c r="E184" s="39">
        <v>195.8</v>
      </c>
      <c r="F184" s="40">
        <f t="shared" si="2"/>
        <v>986</v>
      </c>
    </row>
    <row r="185" spans="1:6" ht="15.75">
      <c r="A185" s="169"/>
      <c r="B185" s="181" t="s">
        <v>65</v>
      </c>
      <c r="C185" s="182"/>
      <c r="D185" s="36">
        <v>87823.2</v>
      </c>
      <c r="E185" s="39">
        <v>-3000</v>
      </c>
      <c r="F185" s="40">
        <f t="shared" si="2"/>
        <v>84823.2</v>
      </c>
    </row>
    <row r="186" spans="1:6" ht="15.75">
      <c r="A186" s="169"/>
      <c r="B186" s="181" t="s">
        <v>97</v>
      </c>
      <c r="C186" s="182"/>
      <c r="D186" s="36">
        <v>5736</v>
      </c>
      <c r="E186" s="39">
        <v>3000</v>
      </c>
      <c r="F186" s="40">
        <f t="shared" si="2"/>
        <v>8736</v>
      </c>
    </row>
    <row r="187" spans="1:6" ht="15.75">
      <c r="A187" s="169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>
      <c r="A188" s="169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>
      <c r="A189" s="169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>
      <c r="A190" s="169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>
      <c r="A191" s="169"/>
      <c r="B191" s="181" t="s">
        <v>145</v>
      </c>
      <c r="C191" s="182"/>
      <c r="D191" s="36">
        <v>3115.8</v>
      </c>
      <c r="E191" s="39">
        <v>930.4</v>
      </c>
      <c r="F191" s="40">
        <f t="shared" si="2"/>
        <v>4046.2000000000003</v>
      </c>
    </row>
    <row r="192" spans="1:6" ht="15.75">
      <c r="A192" s="169"/>
      <c r="B192" s="181" t="s">
        <v>99</v>
      </c>
      <c r="C192" s="182"/>
      <c r="D192" s="36">
        <v>150.4</v>
      </c>
      <c r="E192" s="39">
        <v>83.4</v>
      </c>
      <c r="F192" s="40">
        <f t="shared" si="2"/>
        <v>233.8</v>
      </c>
    </row>
    <row r="193" spans="1:13" ht="15.75">
      <c r="A193" s="169"/>
      <c r="B193" s="181" t="s">
        <v>144</v>
      </c>
      <c r="C193" s="182"/>
      <c r="D193" s="36">
        <v>4663.7</v>
      </c>
      <c r="E193" s="39">
        <v>1393.2</v>
      </c>
      <c r="F193" s="40">
        <f t="shared" si="2"/>
        <v>6056.9</v>
      </c>
    </row>
    <row r="194" spans="1:13" ht="15.75">
      <c r="A194" s="169"/>
      <c r="B194" s="181" t="s">
        <v>146</v>
      </c>
      <c r="C194" s="182"/>
      <c r="D194" s="36">
        <v>9188.4</v>
      </c>
      <c r="E194" s="39">
        <v>2190.4</v>
      </c>
      <c r="F194" s="40">
        <f t="shared" si="2"/>
        <v>11378.8</v>
      </c>
    </row>
    <row r="195" spans="1:13" ht="15.75">
      <c r="A195" s="7" t="s">
        <v>6</v>
      </c>
      <c r="B195" s="172"/>
      <c r="C195" s="172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>
      <c r="A196" s="2"/>
      <c r="B196" s="3"/>
      <c r="C196" s="3"/>
      <c r="D196" s="4"/>
      <c r="E196" s="1"/>
      <c r="F196" s="4"/>
    </row>
    <row r="197" spans="1:13" s="61" customFormat="1" ht="96.75" customHeight="1">
      <c r="A197" s="198" t="s">
        <v>241</v>
      </c>
      <c r="B197" s="198"/>
      <c r="C197" s="198"/>
      <c r="D197" s="198"/>
      <c r="E197" s="198"/>
      <c r="F197" s="198"/>
    </row>
    <row r="198" spans="1:13" ht="16.5" customHeight="1">
      <c r="A198" s="198" t="s">
        <v>232</v>
      </c>
      <c r="B198" s="198"/>
      <c r="C198" s="198"/>
      <c r="D198" s="198"/>
      <c r="E198" s="198"/>
      <c r="F198" s="198"/>
      <c r="G198" s="45"/>
      <c r="H198" s="45"/>
      <c r="I198" s="45"/>
      <c r="J198" s="45"/>
      <c r="K198" s="45"/>
      <c r="L198" s="45"/>
      <c r="M198" s="45"/>
    </row>
    <row r="199" spans="1:13" s="58" customFormat="1" ht="11.25">
      <c r="A199" s="56"/>
      <c r="B199" s="56"/>
      <c r="C199" s="56"/>
      <c r="D199" s="56"/>
      <c r="E199" s="56"/>
      <c r="F199" s="57" t="s">
        <v>7</v>
      </c>
    </row>
    <row r="200" spans="1:13" ht="15.75" customHeight="1">
      <c r="A200" s="208" t="s">
        <v>10</v>
      </c>
      <c r="B200" s="209"/>
      <c r="C200" s="210" t="s">
        <v>11</v>
      </c>
      <c r="D200" s="210"/>
      <c r="E200" s="210"/>
      <c r="F200" s="210"/>
    </row>
    <row r="201" spans="1:13" ht="17.25" customHeight="1">
      <c r="A201" s="41" t="s">
        <v>12</v>
      </c>
      <c r="B201" s="72">
        <v>33.5</v>
      </c>
      <c r="C201" s="186" t="s">
        <v>27</v>
      </c>
      <c r="D201" s="187"/>
      <c r="E201" s="188"/>
      <c r="F201" s="205">
        <f>E61</f>
        <v>-6208.4937599999994</v>
      </c>
      <c r="M201" s="43"/>
    </row>
    <row r="202" spans="1:13" ht="15.75" customHeight="1">
      <c r="A202" s="42" t="s">
        <v>13</v>
      </c>
      <c r="B202" s="72">
        <f>-7537.9+30.91729+544.98895</f>
        <v>-6961.9937599999994</v>
      </c>
      <c r="C202" s="189"/>
      <c r="D202" s="190"/>
      <c r="E202" s="191"/>
      <c r="F202" s="206"/>
    </row>
    <row r="203" spans="1:13" ht="16.5" customHeight="1">
      <c r="A203" s="41" t="s">
        <v>28</v>
      </c>
      <c r="B203" s="72">
        <v>720</v>
      </c>
      <c r="C203" s="192"/>
      <c r="D203" s="193"/>
      <c r="E203" s="194"/>
      <c r="F203" s="207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>
      <c r="A204" s="195" t="s">
        <v>153</v>
      </c>
      <c r="B204" s="205">
        <v>24924</v>
      </c>
      <c r="C204" s="199" t="s">
        <v>154</v>
      </c>
      <c r="D204" s="200"/>
      <c r="E204" s="201"/>
      <c r="F204" s="74">
        <v>7447</v>
      </c>
      <c r="H204" s="16"/>
    </row>
    <row r="205" spans="1:13" ht="16.5" customHeight="1">
      <c r="A205" s="196"/>
      <c r="B205" s="206"/>
      <c r="C205" s="199" t="s">
        <v>168</v>
      </c>
      <c r="D205" s="200"/>
      <c r="E205" s="201"/>
      <c r="F205" s="74">
        <f>313-84.6</f>
        <v>228.4</v>
      </c>
      <c r="H205" s="16"/>
    </row>
    <row r="206" spans="1:13" ht="16.5" customHeight="1">
      <c r="A206" s="196"/>
      <c r="B206" s="206"/>
      <c r="C206" s="199" t="s">
        <v>155</v>
      </c>
      <c r="D206" s="200"/>
      <c r="E206" s="201"/>
      <c r="F206" s="74">
        <v>849</v>
      </c>
      <c r="H206" s="16"/>
    </row>
    <row r="207" spans="1:13" ht="16.5" customHeight="1">
      <c r="A207" s="196"/>
      <c r="B207" s="206"/>
      <c r="C207" s="199" t="s">
        <v>156</v>
      </c>
      <c r="D207" s="200"/>
      <c r="E207" s="201"/>
      <c r="F207" s="74">
        <v>1543.8</v>
      </c>
      <c r="H207" s="16"/>
    </row>
    <row r="208" spans="1:13" ht="16.5" customHeight="1">
      <c r="A208" s="196"/>
      <c r="B208" s="206"/>
      <c r="C208" s="199" t="s">
        <v>161</v>
      </c>
      <c r="D208" s="200"/>
      <c r="E208" s="201"/>
      <c r="F208" s="74">
        <v>1554.3</v>
      </c>
      <c r="H208" s="16"/>
    </row>
    <row r="209" spans="1:13" ht="16.5" customHeight="1">
      <c r="A209" s="196"/>
      <c r="B209" s="206"/>
      <c r="C209" s="199" t="s">
        <v>157</v>
      </c>
      <c r="D209" s="200"/>
      <c r="E209" s="201"/>
      <c r="F209" s="74">
        <v>213.7</v>
      </c>
      <c r="H209" s="16"/>
    </row>
    <row r="210" spans="1:13" ht="16.5" customHeight="1">
      <c r="A210" s="196"/>
      <c r="B210" s="206"/>
      <c r="C210" s="199" t="s">
        <v>158</v>
      </c>
      <c r="D210" s="200"/>
      <c r="E210" s="201"/>
      <c r="F210" s="74">
        <v>1301.5</v>
      </c>
      <c r="H210" s="16"/>
    </row>
    <row r="211" spans="1:13" ht="33" customHeight="1">
      <c r="A211" s="196"/>
      <c r="B211" s="206"/>
      <c r="C211" s="199" t="s">
        <v>159</v>
      </c>
      <c r="D211" s="200"/>
      <c r="E211" s="201"/>
      <c r="F211" s="74">
        <v>213.6</v>
      </c>
      <c r="H211" s="16"/>
    </row>
    <row r="212" spans="1:13" ht="14.25" customHeight="1">
      <c r="A212" s="196"/>
      <c r="B212" s="206"/>
      <c r="C212" s="199" t="s">
        <v>160</v>
      </c>
      <c r="D212" s="200"/>
      <c r="E212" s="201"/>
      <c r="F212" s="74">
        <f>1130.5+84.6</f>
        <v>1215.0999999999999</v>
      </c>
      <c r="H212" s="16"/>
    </row>
    <row r="213" spans="1:13" ht="33" customHeight="1">
      <c r="A213" s="196"/>
      <c r="B213" s="206"/>
      <c r="C213" s="199" t="s">
        <v>162</v>
      </c>
      <c r="D213" s="200"/>
      <c r="E213" s="201"/>
      <c r="F213" s="74">
        <v>670.6</v>
      </c>
      <c r="H213" s="16"/>
    </row>
    <row r="214" spans="1:13" ht="16.5" customHeight="1">
      <c r="A214" s="196"/>
      <c r="B214" s="206"/>
      <c r="C214" s="199" t="s">
        <v>163</v>
      </c>
      <c r="D214" s="200"/>
      <c r="E214" s="201"/>
      <c r="F214" s="74">
        <v>930.4</v>
      </c>
      <c r="H214" s="16"/>
    </row>
    <row r="215" spans="1:13" ht="16.5" customHeight="1">
      <c r="A215" s="196"/>
      <c r="B215" s="206"/>
      <c r="C215" s="199" t="s">
        <v>164</v>
      </c>
      <c r="D215" s="200"/>
      <c r="E215" s="201"/>
      <c r="F215" s="74">
        <v>1589</v>
      </c>
      <c r="H215" s="16"/>
    </row>
    <row r="216" spans="1:13" ht="16.5" customHeight="1">
      <c r="A216" s="196"/>
      <c r="B216" s="206"/>
      <c r="C216" s="199" t="s">
        <v>163</v>
      </c>
      <c r="D216" s="200"/>
      <c r="E216" s="201"/>
      <c r="F216" s="74">
        <v>2190.4</v>
      </c>
      <c r="H216" s="16"/>
    </row>
    <row r="217" spans="1:13" ht="16.5" customHeight="1">
      <c r="A217" s="196"/>
      <c r="B217" s="206"/>
      <c r="C217" s="199" t="s">
        <v>165</v>
      </c>
      <c r="D217" s="200"/>
      <c r="E217" s="201"/>
      <c r="F217" s="74">
        <v>4609.7</v>
      </c>
      <c r="H217" s="16"/>
    </row>
    <row r="218" spans="1:13" ht="16.5" customHeight="1">
      <c r="A218" s="196"/>
      <c r="B218" s="206"/>
      <c r="C218" s="202" t="s">
        <v>88</v>
      </c>
      <c r="D218" s="203"/>
      <c r="E218" s="204"/>
      <c r="F218" s="74">
        <v>64.5</v>
      </c>
      <c r="H218" s="16"/>
    </row>
    <row r="219" spans="1:13" ht="16.5" customHeight="1">
      <c r="A219" s="196"/>
      <c r="B219" s="206"/>
      <c r="C219" s="199" t="s">
        <v>166</v>
      </c>
      <c r="D219" s="200"/>
      <c r="E219" s="201"/>
      <c r="F219" s="74">
        <v>219.6</v>
      </c>
      <c r="H219" s="16"/>
    </row>
    <row r="220" spans="1:13" ht="16.5" customHeight="1">
      <c r="A220" s="197"/>
      <c r="B220" s="207"/>
      <c r="C220" s="199" t="s">
        <v>167</v>
      </c>
      <c r="D220" s="200"/>
      <c r="E220" s="201"/>
      <c r="F220" s="74">
        <v>83.4</v>
      </c>
      <c r="H220" s="16"/>
    </row>
    <row r="221" spans="1:13" ht="48" customHeight="1">
      <c r="A221" s="60" t="s">
        <v>84</v>
      </c>
      <c r="B221" s="73">
        <v>65</v>
      </c>
      <c r="C221" s="199" t="s">
        <v>170</v>
      </c>
      <c r="D221" s="200"/>
      <c r="E221" s="201"/>
      <c r="F221" s="72">
        <v>45</v>
      </c>
    </row>
    <row r="222" spans="1:13" ht="16.5" customHeight="1">
      <c r="A222" s="60" t="s">
        <v>22</v>
      </c>
      <c r="B222" s="73">
        <v>1500</v>
      </c>
      <c r="C222" s="199" t="s">
        <v>89</v>
      </c>
      <c r="D222" s="200"/>
      <c r="E222" s="201"/>
      <c r="F222" s="75">
        <v>1500</v>
      </c>
    </row>
    <row r="223" spans="1:13" ht="30.75" customHeight="1">
      <c r="A223" s="76" t="s">
        <v>193</v>
      </c>
      <c r="B223" s="72">
        <v>2497.1</v>
      </c>
      <c r="C223" s="199" t="s">
        <v>160</v>
      </c>
      <c r="D223" s="200"/>
      <c r="E223" s="201"/>
      <c r="F223" s="72">
        <v>2497.1</v>
      </c>
    </row>
    <row r="224" spans="1:13" ht="15">
      <c r="A224" s="18" t="s">
        <v>9</v>
      </c>
      <c r="B224" s="77">
        <f>SUM(B201:B222)</f>
        <v>20280.506240000002</v>
      </c>
      <c r="C224" s="211" t="s">
        <v>9</v>
      </c>
      <c r="D224" s="211"/>
      <c r="E224" s="211"/>
      <c r="F224" s="78">
        <f>SUM(F201:F222)</f>
        <v>20260.506239999999</v>
      </c>
      <c r="M224" s="43">
        <f>B224-F224</f>
        <v>20.000000000003638</v>
      </c>
    </row>
    <row r="225" spans="1:12" ht="0.75" customHeight="1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>
      <c r="A226" s="212" t="s">
        <v>66</v>
      </c>
      <c r="B226" s="212"/>
      <c r="C226" s="212"/>
      <c r="D226" s="212"/>
      <c r="E226" s="213" t="s">
        <v>67</v>
      </c>
      <c r="F226" s="213"/>
    </row>
    <row r="227" spans="1:12" ht="1.5" customHeight="1">
      <c r="A227" s="2"/>
      <c r="B227" s="3"/>
      <c r="C227" s="3"/>
      <c r="D227" s="4"/>
      <c r="E227" s="1"/>
      <c r="F227" s="4"/>
    </row>
    <row r="228" spans="1:12" ht="15.75" customHeight="1">
      <c r="B228" s="16"/>
    </row>
    <row r="229" spans="1:12" ht="17.25" customHeight="1"/>
    <row r="230" spans="1:12" ht="14.25" customHeight="1">
      <c r="G230" s="16"/>
      <c r="H230" s="16"/>
      <c r="J230" s="16"/>
      <c r="L230" s="16"/>
    </row>
    <row r="231" spans="1:12" ht="14.25" customHeight="1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1"/>
  <sheetViews>
    <sheetView topLeftCell="A212" zoomScale="90" zoomScaleNormal="90" workbookViewId="0">
      <selection activeCell="E191" sqref="E191"/>
    </sheetView>
  </sheetViews>
  <sheetFormatPr defaultColWidth="9.140625" defaultRowHeight="18"/>
  <cols>
    <col min="1" max="1" width="42.28515625" style="80" customWidth="1"/>
    <col min="2" max="2" width="14.28515625" style="80" customWidth="1"/>
    <col min="3" max="3" width="15.28515625" style="80" customWidth="1"/>
    <col min="4" max="4" width="14" style="80" customWidth="1"/>
    <col min="5" max="5" width="16.42578125" style="80" customWidth="1"/>
    <col min="6" max="6" width="23" style="80" customWidth="1"/>
    <col min="7" max="7" width="20.5703125" style="80" customWidth="1"/>
    <col min="8" max="8" width="13.140625" style="80" customWidth="1"/>
    <col min="9" max="9" width="16.28515625" style="80" customWidth="1"/>
    <col min="10" max="10" width="36.28515625" style="80" customWidth="1"/>
    <col min="11" max="12" width="9.140625" style="80" customWidth="1"/>
    <col min="13" max="13" width="13.140625" style="80" customWidth="1"/>
    <col min="14" max="14" width="9.140625" style="80" customWidth="1"/>
    <col min="15" max="15" width="12.42578125" style="80" customWidth="1"/>
    <col min="16" max="16384" width="9.140625" style="80"/>
  </cols>
  <sheetData>
    <row r="1" spans="1:6" ht="19.5" customHeight="1">
      <c r="A1" s="249" t="s">
        <v>0</v>
      </c>
      <c r="B1" s="249"/>
      <c r="C1" s="249"/>
      <c r="D1" s="249"/>
      <c r="E1" s="249"/>
      <c r="F1" s="249"/>
    </row>
    <row r="2" spans="1:6" ht="66.75" customHeight="1">
      <c r="A2" s="250" t="s">
        <v>249</v>
      </c>
      <c r="B2" s="250"/>
      <c r="C2" s="250"/>
      <c r="D2" s="250"/>
      <c r="E2" s="250"/>
      <c r="F2" s="250"/>
    </row>
    <row r="3" spans="1:6" ht="18.75">
      <c r="A3" s="252" t="s">
        <v>403</v>
      </c>
      <c r="B3" s="252"/>
      <c r="C3" s="252"/>
      <c r="D3" s="252"/>
      <c r="E3" s="252"/>
      <c r="F3" s="252"/>
    </row>
    <row r="4" spans="1:6" ht="45.75" customHeight="1">
      <c r="A4" s="252" t="s">
        <v>467</v>
      </c>
      <c r="B4" s="252"/>
      <c r="C4" s="252"/>
      <c r="D4" s="252"/>
      <c r="E4" s="252"/>
      <c r="F4" s="252"/>
    </row>
    <row r="5" spans="1:6" ht="24" customHeight="1">
      <c r="A5" s="252" t="s">
        <v>406</v>
      </c>
      <c r="B5" s="252"/>
      <c r="C5" s="141">
        <v>15000</v>
      </c>
      <c r="D5" s="140" t="s">
        <v>404</v>
      </c>
      <c r="E5" s="138"/>
      <c r="F5" s="138"/>
    </row>
    <row r="6" spans="1:6" ht="18.75" customHeight="1">
      <c r="A6" s="252" t="s">
        <v>407</v>
      </c>
      <c r="B6" s="252"/>
      <c r="C6" s="104">
        <v>109.5</v>
      </c>
      <c r="D6" s="140" t="s">
        <v>404</v>
      </c>
      <c r="E6" s="138"/>
      <c r="F6" s="138"/>
    </row>
    <row r="7" spans="1:6" ht="18.75" customHeight="1">
      <c r="A7" s="251" t="s">
        <v>462</v>
      </c>
      <c r="B7" s="251"/>
      <c r="C7" s="142">
        <v>100439.9</v>
      </c>
      <c r="D7" s="140" t="s">
        <v>404</v>
      </c>
      <c r="E7" s="104"/>
      <c r="F7" s="138"/>
    </row>
    <row r="8" spans="1:6" ht="18.75" customHeight="1">
      <c r="A8" s="139"/>
      <c r="B8" s="139"/>
      <c r="C8" s="128"/>
      <c r="D8" s="140"/>
      <c r="E8" s="104"/>
      <c r="F8" s="138"/>
    </row>
    <row r="9" spans="1:6" ht="18.75">
      <c r="A9" s="253" t="s">
        <v>405</v>
      </c>
      <c r="B9" s="253"/>
      <c r="C9" s="253"/>
      <c r="D9" s="253"/>
      <c r="E9" s="253"/>
      <c r="F9" s="253"/>
    </row>
    <row r="10" spans="1:6" ht="75">
      <c r="A10" s="105" t="s">
        <v>15</v>
      </c>
      <c r="B10" s="105" t="s">
        <v>342</v>
      </c>
      <c r="C10" s="105" t="s">
        <v>343</v>
      </c>
      <c r="D10" s="105" t="s">
        <v>16</v>
      </c>
      <c r="E10" s="105" t="s">
        <v>17</v>
      </c>
      <c r="F10" s="105" t="s">
        <v>18</v>
      </c>
    </row>
    <row r="11" spans="1:6" ht="168.75">
      <c r="A11" s="105" t="s">
        <v>344</v>
      </c>
      <c r="B11" s="106">
        <v>265063</v>
      </c>
      <c r="C11" s="106">
        <v>226237.8</v>
      </c>
      <c r="D11" s="106">
        <v>288435</v>
      </c>
      <c r="E11" s="106">
        <v>23372</v>
      </c>
      <c r="F11" s="105" t="s">
        <v>345</v>
      </c>
    </row>
    <row r="12" spans="1:6" ht="281.25">
      <c r="A12" s="105" t="s">
        <v>346</v>
      </c>
      <c r="B12" s="106">
        <v>1895</v>
      </c>
      <c r="C12" s="106">
        <v>1267.3</v>
      </c>
      <c r="D12" s="106">
        <v>1423</v>
      </c>
      <c r="E12" s="106">
        <v>-472</v>
      </c>
      <c r="F12" s="105" t="s">
        <v>347</v>
      </c>
    </row>
    <row r="13" spans="1:6" ht="112.5">
      <c r="A13" s="105" t="s">
        <v>348</v>
      </c>
      <c r="B13" s="106">
        <v>935</v>
      </c>
      <c r="C13" s="106">
        <v>1296.8</v>
      </c>
      <c r="D13" s="106">
        <v>1217</v>
      </c>
      <c r="E13" s="106">
        <v>282</v>
      </c>
      <c r="F13" s="105" t="s">
        <v>349</v>
      </c>
    </row>
    <row r="14" spans="1:6" ht="206.25">
      <c r="A14" s="105" t="s">
        <v>350</v>
      </c>
      <c r="B14" s="106">
        <v>0</v>
      </c>
      <c r="C14" s="106">
        <v>472.5</v>
      </c>
      <c r="D14" s="106">
        <v>479</v>
      </c>
      <c r="E14" s="106">
        <v>479</v>
      </c>
      <c r="F14" s="105" t="s">
        <v>351</v>
      </c>
    </row>
    <row r="15" spans="1:6" ht="150">
      <c r="A15" s="105" t="s">
        <v>352</v>
      </c>
      <c r="B15" s="106">
        <v>4897</v>
      </c>
      <c r="C15" s="106">
        <v>4643.3999999999996</v>
      </c>
      <c r="D15" s="106">
        <v>5498</v>
      </c>
      <c r="E15" s="106">
        <v>601</v>
      </c>
      <c r="F15" s="105" t="s">
        <v>353</v>
      </c>
    </row>
    <row r="16" spans="1:6" ht="206.25">
      <c r="A16" s="105" t="s">
        <v>354</v>
      </c>
      <c r="B16" s="106">
        <v>77</v>
      </c>
      <c r="C16" s="106">
        <v>48.6</v>
      </c>
      <c r="D16" s="106">
        <v>58</v>
      </c>
      <c r="E16" s="106">
        <v>-19</v>
      </c>
      <c r="F16" s="105" t="s">
        <v>355</v>
      </c>
    </row>
    <row r="17" spans="1:6" ht="168.75">
      <c r="A17" s="105" t="s">
        <v>356</v>
      </c>
      <c r="B17" s="106">
        <v>7813</v>
      </c>
      <c r="C17" s="106">
        <v>7645</v>
      </c>
      <c r="D17" s="106">
        <v>9177</v>
      </c>
      <c r="E17" s="106">
        <v>1364</v>
      </c>
      <c r="F17" s="105" t="s">
        <v>357</v>
      </c>
    </row>
    <row r="18" spans="1:6" ht="112.5">
      <c r="A18" s="105" t="s">
        <v>358</v>
      </c>
      <c r="B18" s="106">
        <v>4535</v>
      </c>
      <c r="C18" s="106">
        <v>2408.5</v>
      </c>
      <c r="D18" s="106">
        <v>5132</v>
      </c>
      <c r="E18" s="106">
        <v>597</v>
      </c>
      <c r="F18" s="105" t="s">
        <v>359</v>
      </c>
    </row>
    <row r="19" spans="1:6" ht="93.75">
      <c r="A19" s="105" t="s">
        <v>360</v>
      </c>
      <c r="B19" s="106">
        <v>7938</v>
      </c>
      <c r="C19" s="106">
        <v>6810.7</v>
      </c>
      <c r="D19" s="106">
        <v>8168</v>
      </c>
      <c r="E19" s="106">
        <v>230</v>
      </c>
      <c r="F19" s="105" t="s">
        <v>361</v>
      </c>
    </row>
    <row r="20" spans="1:6" ht="206.25">
      <c r="A20" s="105" t="s">
        <v>362</v>
      </c>
      <c r="B20" s="106">
        <v>1</v>
      </c>
      <c r="C20" s="106">
        <v>2.7</v>
      </c>
      <c r="D20" s="106">
        <v>2</v>
      </c>
      <c r="E20" s="106">
        <v>1</v>
      </c>
      <c r="F20" s="105" t="s">
        <v>363</v>
      </c>
    </row>
    <row r="21" spans="1:6" ht="93.75">
      <c r="A21" s="105" t="s">
        <v>364</v>
      </c>
      <c r="B21" s="106">
        <v>2877</v>
      </c>
      <c r="C21" s="106">
        <v>4543.3</v>
      </c>
      <c r="D21" s="106">
        <v>5193</v>
      </c>
      <c r="E21" s="106">
        <v>2316</v>
      </c>
      <c r="F21" s="105" t="s">
        <v>365</v>
      </c>
    </row>
    <row r="22" spans="1:6" ht="75">
      <c r="A22" s="105" t="s">
        <v>47</v>
      </c>
      <c r="B22" s="106">
        <v>122</v>
      </c>
      <c r="C22" s="106">
        <v>192.6</v>
      </c>
      <c r="D22" s="106">
        <v>221</v>
      </c>
      <c r="E22" s="106">
        <v>99</v>
      </c>
      <c r="F22" s="105" t="s">
        <v>366</v>
      </c>
    </row>
    <row r="23" spans="1:6" ht="206.25">
      <c r="A23" s="105" t="s">
        <v>367</v>
      </c>
      <c r="B23" s="106">
        <v>220</v>
      </c>
      <c r="C23" s="106">
        <v>271</v>
      </c>
      <c r="D23" s="106">
        <v>341</v>
      </c>
      <c r="E23" s="106">
        <v>121</v>
      </c>
      <c r="F23" s="105" t="s">
        <v>368</v>
      </c>
    </row>
    <row r="24" spans="1:6" ht="56.25">
      <c r="A24" s="105" t="s">
        <v>369</v>
      </c>
      <c r="B24" s="106">
        <v>20</v>
      </c>
      <c r="C24" s="106">
        <v>3.7</v>
      </c>
      <c r="D24" s="106">
        <v>5</v>
      </c>
      <c r="E24" s="106">
        <v>-15</v>
      </c>
      <c r="F24" s="105" t="s">
        <v>370</v>
      </c>
    </row>
    <row r="25" spans="1:6" ht="131.25">
      <c r="A25" s="105" t="s">
        <v>371</v>
      </c>
      <c r="B25" s="106">
        <v>375</v>
      </c>
      <c r="C25" s="106">
        <v>162</v>
      </c>
      <c r="D25" s="106">
        <v>214</v>
      </c>
      <c r="E25" s="106">
        <v>-161</v>
      </c>
      <c r="F25" s="105" t="s">
        <v>372</v>
      </c>
    </row>
    <row r="26" spans="1:6" ht="75">
      <c r="A26" s="105" t="s">
        <v>373</v>
      </c>
      <c r="B26" s="106">
        <v>884.2</v>
      </c>
      <c r="C26" s="106">
        <v>639</v>
      </c>
      <c r="D26" s="106">
        <v>784.2</v>
      </c>
      <c r="E26" s="106">
        <v>-100</v>
      </c>
      <c r="F26" s="105" t="s">
        <v>374</v>
      </c>
    </row>
    <row r="27" spans="1:6" ht="93.75">
      <c r="A27" s="105" t="s">
        <v>375</v>
      </c>
      <c r="B27" s="106">
        <v>1635</v>
      </c>
      <c r="C27" s="106">
        <v>1484.1</v>
      </c>
      <c r="D27" s="106">
        <v>1842</v>
      </c>
      <c r="E27" s="106">
        <v>207</v>
      </c>
      <c r="F27" s="105" t="s">
        <v>376</v>
      </c>
    </row>
    <row r="28" spans="1:6" ht="56.25">
      <c r="A28" s="105" t="s">
        <v>377</v>
      </c>
      <c r="B28" s="106">
        <v>4909.8</v>
      </c>
      <c r="C28" s="106">
        <v>4119.5600000000004</v>
      </c>
      <c r="D28" s="106">
        <v>4246</v>
      </c>
      <c r="E28" s="106">
        <v>-663.2</v>
      </c>
      <c r="F28" s="105" t="s">
        <v>374</v>
      </c>
    </row>
    <row r="29" spans="1:6" ht="168.75">
      <c r="A29" s="105" t="s">
        <v>378</v>
      </c>
      <c r="B29" s="106">
        <v>10000</v>
      </c>
      <c r="C29" s="106">
        <v>1990</v>
      </c>
      <c r="D29" s="106">
        <v>2905</v>
      </c>
      <c r="E29" s="106">
        <v>-7095</v>
      </c>
      <c r="F29" s="105" t="s">
        <v>379</v>
      </c>
    </row>
    <row r="30" spans="1:6" ht="131.25">
      <c r="A30" s="105" t="s">
        <v>380</v>
      </c>
      <c r="B30" s="106">
        <v>24224</v>
      </c>
      <c r="C30" s="106">
        <v>1569.3</v>
      </c>
      <c r="D30" s="106">
        <v>1800</v>
      </c>
      <c r="E30" s="106">
        <v>-22424</v>
      </c>
      <c r="F30" s="105" t="s">
        <v>381</v>
      </c>
    </row>
    <row r="31" spans="1:6" ht="243.75">
      <c r="A31" s="105" t="s">
        <v>382</v>
      </c>
      <c r="B31" s="106">
        <v>365</v>
      </c>
      <c r="C31" s="106">
        <v>368.1</v>
      </c>
      <c r="D31" s="106">
        <v>444</v>
      </c>
      <c r="E31" s="106">
        <v>79</v>
      </c>
      <c r="F31" s="105" t="s">
        <v>383</v>
      </c>
    </row>
    <row r="32" spans="1:6" ht="131.25">
      <c r="A32" s="105" t="s">
        <v>215</v>
      </c>
      <c r="B32" s="106">
        <v>12</v>
      </c>
      <c r="C32" s="106">
        <v>15.1</v>
      </c>
      <c r="D32" s="106">
        <v>19</v>
      </c>
      <c r="E32" s="106">
        <v>7</v>
      </c>
      <c r="F32" s="105" t="s">
        <v>384</v>
      </c>
    </row>
    <row r="33" spans="1:6" ht="131.25">
      <c r="A33" s="105" t="s">
        <v>385</v>
      </c>
      <c r="B33" s="106">
        <v>2</v>
      </c>
      <c r="C33" s="106">
        <v>0</v>
      </c>
      <c r="D33" s="106">
        <v>0</v>
      </c>
      <c r="E33" s="106">
        <v>-2</v>
      </c>
      <c r="F33" s="105" t="s">
        <v>386</v>
      </c>
    </row>
    <row r="34" spans="1:6" ht="131.25">
      <c r="A34" s="105" t="s">
        <v>49</v>
      </c>
      <c r="B34" s="106">
        <v>344</v>
      </c>
      <c r="C34" s="106">
        <v>277.5</v>
      </c>
      <c r="D34" s="106">
        <v>363</v>
      </c>
      <c r="E34" s="106">
        <v>19</v>
      </c>
      <c r="F34" s="105" t="s">
        <v>387</v>
      </c>
    </row>
    <row r="35" spans="1:6" ht="112.5">
      <c r="A35" s="105" t="s">
        <v>219</v>
      </c>
      <c r="B35" s="106">
        <v>5</v>
      </c>
      <c r="C35" s="106">
        <v>5</v>
      </c>
      <c r="D35" s="106">
        <v>7</v>
      </c>
      <c r="E35" s="106">
        <v>2</v>
      </c>
      <c r="F35" s="105" t="s">
        <v>388</v>
      </c>
    </row>
    <row r="36" spans="1:6" ht="56.25">
      <c r="A36" s="105" t="s">
        <v>389</v>
      </c>
      <c r="B36" s="106">
        <v>11</v>
      </c>
      <c r="C36" s="106">
        <v>12.8</v>
      </c>
      <c r="D36" s="106">
        <v>15</v>
      </c>
      <c r="E36" s="106">
        <v>4</v>
      </c>
      <c r="F36" s="105" t="s">
        <v>390</v>
      </c>
    </row>
    <row r="37" spans="1:6" ht="56.25">
      <c r="A37" s="105" t="s">
        <v>391</v>
      </c>
      <c r="B37" s="106">
        <v>5</v>
      </c>
      <c r="C37" s="106">
        <v>25</v>
      </c>
      <c r="D37" s="106">
        <v>25</v>
      </c>
      <c r="E37" s="106">
        <v>20</v>
      </c>
      <c r="F37" s="105" t="s">
        <v>428</v>
      </c>
    </row>
    <row r="38" spans="1:6" ht="131.25">
      <c r="A38" s="105" t="s">
        <v>392</v>
      </c>
      <c r="B38" s="106">
        <v>1980</v>
      </c>
      <c r="C38" s="106">
        <v>1538.3</v>
      </c>
      <c r="D38" s="106">
        <v>1804</v>
      </c>
      <c r="E38" s="106">
        <v>-176</v>
      </c>
      <c r="F38" s="105" t="s">
        <v>393</v>
      </c>
    </row>
    <row r="39" spans="1:6" ht="56.25">
      <c r="A39" s="105" t="s">
        <v>394</v>
      </c>
      <c r="B39" s="106">
        <v>150</v>
      </c>
      <c r="C39" s="106">
        <v>138.80000000000001</v>
      </c>
      <c r="D39" s="106">
        <v>182</v>
      </c>
      <c r="E39" s="106">
        <v>32</v>
      </c>
      <c r="F39" s="105" t="s">
        <v>395</v>
      </c>
    </row>
    <row r="40" spans="1:6" ht="131.25">
      <c r="A40" s="105" t="s">
        <v>396</v>
      </c>
      <c r="B40" s="106">
        <v>2916</v>
      </c>
      <c r="C40" s="106">
        <v>2109.6</v>
      </c>
      <c r="D40" s="106">
        <v>2708</v>
      </c>
      <c r="E40" s="106">
        <v>-208</v>
      </c>
      <c r="F40" s="105" t="s">
        <v>397</v>
      </c>
    </row>
    <row r="41" spans="1:6" ht="168.75">
      <c r="A41" s="105" t="s">
        <v>24</v>
      </c>
      <c r="B41" s="106">
        <v>177</v>
      </c>
      <c r="C41" s="106">
        <v>149.6</v>
      </c>
      <c r="D41" s="106">
        <v>187</v>
      </c>
      <c r="E41" s="106">
        <v>10</v>
      </c>
      <c r="F41" s="105" t="s">
        <v>398</v>
      </c>
    </row>
    <row r="42" spans="1:6" ht="112.5">
      <c r="A42" s="105" t="s">
        <v>399</v>
      </c>
      <c r="B42" s="106">
        <v>84</v>
      </c>
      <c r="C42" s="106">
        <v>48.1</v>
      </c>
      <c r="D42" s="106">
        <v>64</v>
      </c>
      <c r="E42" s="106">
        <v>-20</v>
      </c>
      <c r="F42" s="105" t="s">
        <v>400</v>
      </c>
    </row>
    <row r="43" spans="1:6" ht="93.75">
      <c r="A43" s="105" t="s">
        <v>33</v>
      </c>
      <c r="B43" s="106">
        <v>3251</v>
      </c>
      <c r="C43" s="106">
        <v>3171.3</v>
      </c>
      <c r="D43" s="106">
        <v>4001</v>
      </c>
      <c r="E43" s="106">
        <v>750</v>
      </c>
      <c r="F43" s="105" t="s">
        <v>401</v>
      </c>
    </row>
    <row r="44" spans="1:6" ht="18.75">
      <c r="A44" s="107" t="s">
        <v>402</v>
      </c>
      <c r="B44" s="105"/>
      <c r="C44" s="105"/>
      <c r="D44" s="105"/>
      <c r="E44" s="108">
        <f>SUM(E11:E43)</f>
        <v>-763.20000000000073</v>
      </c>
      <c r="F44" s="105"/>
    </row>
    <row r="45" spans="1:6" ht="18.75">
      <c r="A45" s="138"/>
      <c r="B45" s="138"/>
      <c r="C45" s="138"/>
      <c r="D45" s="138"/>
      <c r="E45" s="138"/>
      <c r="F45" s="138"/>
    </row>
    <row r="46" spans="1:6" ht="18.75">
      <c r="A46" s="252" t="s">
        <v>463</v>
      </c>
      <c r="B46" s="252"/>
      <c r="C46" s="252"/>
      <c r="D46" s="252"/>
      <c r="E46" s="252"/>
      <c r="F46" s="252"/>
    </row>
    <row r="47" spans="1:6" ht="18.75">
      <c r="A47" s="254" t="s">
        <v>464</v>
      </c>
      <c r="B47" s="254"/>
      <c r="C47" s="254"/>
      <c r="D47" s="254"/>
      <c r="E47" s="254"/>
      <c r="F47" s="254"/>
    </row>
    <row r="48" spans="1:6" ht="18.75">
      <c r="A48" s="125"/>
      <c r="B48" s="125"/>
      <c r="C48" s="125"/>
      <c r="D48" s="125"/>
      <c r="E48" s="125"/>
      <c r="F48" s="125"/>
    </row>
    <row r="49" spans="1:10" ht="20.25" customHeight="1">
      <c r="A49" s="251" t="s">
        <v>259</v>
      </c>
      <c r="B49" s="251"/>
      <c r="C49" s="251"/>
      <c r="D49" s="251"/>
      <c r="E49" s="251"/>
      <c r="F49" s="251"/>
    </row>
    <row r="50" spans="1:10" ht="61.5" customHeight="1">
      <c r="A50" s="223" t="s">
        <v>468</v>
      </c>
      <c r="B50" s="223"/>
      <c r="C50" s="223"/>
      <c r="D50" s="223"/>
      <c r="E50" s="223"/>
      <c r="F50" s="223"/>
      <c r="H50" s="80" t="s">
        <v>256</v>
      </c>
    </row>
    <row r="51" spans="1:10" ht="21.75" customHeight="1">
      <c r="A51" s="222" t="s">
        <v>31</v>
      </c>
      <c r="B51" s="222"/>
      <c r="C51" s="222"/>
      <c r="D51" s="222"/>
      <c r="E51" s="222"/>
      <c r="F51" s="222"/>
    </row>
    <row r="52" spans="1:10" ht="64.5" customHeight="1">
      <c r="A52" s="223" t="s">
        <v>465</v>
      </c>
      <c r="B52" s="223"/>
      <c r="C52" s="223"/>
      <c r="D52" s="223"/>
      <c r="E52" s="223"/>
      <c r="F52" s="223"/>
    </row>
    <row r="53" spans="1:10" ht="72.75" customHeight="1">
      <c r="A53" s="223" t="s">
        <v>417</v>
      </c>
      <c r="B53" s="223"/>
      <c r="C53" s="223"/>
      <c r="D53" s="223"/>
      <c r="E53" s="223"/>
      <c r="F53" s="223"/>
    </row>
    <row r="54" spans="1:10" ht="111.75" customHeight="1">
      <c r="A54" s="223" t="s">
        <v>437</v>
      </c>
      <c r="B54" s="223"/>
      <c r="C54" s="223"/>
      <c r="D54" s="223"/>
      <c r="E54" s="223"/>
      <c r="F54" s="223"/>
    </row>
    <row r="55" spans="1:10" ht="21.75" customHeight="1">
      <c r="A55" s="222" t="s">
        <v>85</v>
      </c>
      <c r="B55" s="222"/>
      <c r="C55" s="222"/>
      <c r="D55" s="222"/>
      <c r="E55" s="222"/>
      <c r="F55" s="222"/>
    </row>
    <row r="56" spans="1:10" ht="12.75" customHeight="1">
      <c r="A56" s="245"/>
      <c r="B56" s="245"/>
      <c r="C56" s="245"/>
      <c r="D56" s="245"/>
      <c r="E56" s="245"/>
      <c r="F56" s="245"/>
    </row>
    <row r="57" spans="1:10" ht="18.75" customHeight="1">
      <c r="A57" s="131"/>
      <c r="B57" s="131"/>
      <c r="C57" s="131"/>
      <c r="D57" s="131"/>
      <c r="E57" s="131"/>
      <c r="F57" s="81" t="s">
        <v>7</v>
      </c>
      <c r="I57" s="82"/>
    </row>
    <row r="58" spans="1:10" s="83" customFormat="1" ht="24" customHeight="1">
      <c r="A58" s="132" t="s">
        <v>1</v>
      </c>
      <c r="B58" s="224" t="s">
        <v>2</v>
      </c>
      <c r="C58" s="224"/>
      <c r="D58" s="132" t="s">
        <v>3</v>
      </c>
      <c r="E58" s="132" t="s">
        <v>4</v>
      </c>
      <c r="F58" s="132" t="s">
        <v>5</v>
      </c>
      <c r="G58" s="80"/>
      <c r="H58" s="80"/>
      <c r="I58" s="80"/>
      <c r="J58" s="80"/>
    </row>
    <row r="59" spans="1:10" ht="17.25" customHeight="1">
      <c r="A59" s="129" t="s">
        <v>30</v>
      </c>
      <c r="B59" s="133" t="s">
        <v>323</v>
      </c>
      <c r="C59" s="134"/>
      <c r="D59" s="127">
        <v>407306.5</v>
      </c>
      <c r="E59" s="109">
        <v>100439.9</v>
      </c>
      <c r="F59" s="110">
        <f t="shared" ref="F59" si="0">SUM(D59:E59)</f>
        <v>507746.4</v>
      </c>
    </row>
    <row r="60" spans="1:10" ht="17.25" customHeight="1">
      <c r="A60" s="129" t="s">
        <v>26</v>
      </c>
      <c r="B60" s="133" t="s">
        <v>281</v>
      </c>
      <c r="C60" s="134"/>
      <c r="D60" s="127">
        <v>0</v>
      </c>
      <c r="E60" s="109">
        <v>15000</v>
      </c>
      <c r="F60" s="110">
        <f t="shared" ref="F60:F62" si="1">SUM(D60:E60)</f>
        <v>15000</v>
      </c>
    </row>
    <row r="61" spans="1:10" ht="17.25" customHeight="1">
      <c r="A61" s="219" t="s">
        <v>25</v>
      </c>
      <c r="B61" s="133" t="s">
        <v>96</v>
      </c>
      <c r="C61" s="134"/>
      <c r="D61" s="127">
        <v>40.200000000000003</v>
      </c>
      <c r="E61" s="109">
        <v>6.5210000000000004E-2</v>
      </c>
      <c r="F61" s="110">
        <f t="shared" si="1"/>
        <v>40.265210000000003</v>
      </c>
    </row>
    <row r="62" spans="1:10" ht="17.25" customHeight="1">
      <c r="A62" s="220"/>
      <c r="B62" s="133" t="s">
        <v>51</v>
      </c>
      <c r="C62" s="134"/>
      <c r="D62" s="127">
        <v>8150.7</v>
      </c>
      <c r="E62" s="109">
        <v>13.041</v>
      </c>
      <c r="F62" s="110">
        <f t="shared" si="1"/>
        <v>8163.741</v>
      </c>
    </row>
    <row r="63" spans="1:10" ht="17.25" customHeight="1">
      <c r="A63" s="221"/>
      <c r="B63" s="133" t="s">
        <v>127</v>
      </c>
      <c r="C63" s="134"/>
      <c r="D63" s="127">
        <v>3438</v>
      </c>
      <c r="E63" s="109">
        <v>96.354290000000006</v>
      </c>
      <c r="F63" s="110">
        <f t="shared" ref="F63" si="2">SUM(D63:E63)</f>
        <v>3534.3542900000002</v>
      </c>
    </row>
    <row r="64" spans="1:10" ht="22.5" customHeight="1">
      <c r="A64" s="84" t="s">
        <v>6</v>
      </c>
      <c r="B64" s="248"/>
      <c r="C64" s="248"/>
      <c r="D64" s="85"/>
      <c r="E64" s="86">
        <f>SUM(E59:E63)</f>
        <v>115549.3605</v>
      </c>
      <c r="F64" s="85"/>
    </row>
    <row r="65" spans="1:8" ht="9.75" customHeight="1">
      <c r="A65" s="87"/>
      <c r="B65" s="88"/>
      <c r="C65" s="88"/>
      <c r="D65" s="89"/>
      <c r="E65" s="90"/>
      <c r="F65" s="89"/>
    </row>
    <row r="66" spans="1:8" ht="22.5" customHeight="1">
      <c r="A66" s="246" t="s">
        <v>260</v>
      </c>
      <c r="B66" s="246"/>
      <c r="C66" s="246"/>
      <c r="D66" s="246"/>
      <c r="E66" s="246"/>
      <c r="F66" s="246"/>
    </row>
    <row r="67" spans="1:8" ht="18" customHeight="1">
      <c r="A67" s="247" t="s">
        <v>244</v>
      </c>
      <c r="B67" s="247"/>
      <c r="C67" s="247"/>
      <c r="D67" s="247"/>
      <c r="E67" s="247"/>
      <c r="F67" s="247"/>
    </row>
    <row r="68" spans="1:8" ht="17.25" customHeight="1">
      <c r="A68" s="218" t="s">
        <v>38</v>
      </c>
      <c r="B68" s="218"/>
      <c r="C68" s="218"/>
      <c r="D68" s="218"/>
      <c r="E68" s="218"/>
      <c r="F68" s="218"/>
    </row>
    <row r="69" spans="1:8" ht="150" customHeight="1">
      <c r="A69" s="216" t="s">
        <v>466</v>
      </c>
      <c r="B69" s="216"/>
      <c r="C69" s="216"/>
      <c r="D69" s="216"/>
      <c r="E69" s="216"/>
      <c r="F69" s="216"/>
      <c r="H69" s="91"/>
    </row>
    <row r="70" spans="1:8" ht="87.75" customHeight="1">
      <c r="A70" s="216" t="s">
        <v>450</v>
      </c>
      <c r="B70" s="216"/>
      <c r="C70" s="216"/>
      <c r="D70" s="216"/>
      <c r="E70" s="216"/>
      <c r="F70" s="216"/>
      <c r="H70" s="91"/>
    </row>
    <row r="71" spans="1:8" ht="98.25" customHeight="1">
      <c r="A71" s="216" t="s">
        <v>440</v>
      </c>
      <c r="B71" s="216"/>
      <c r="C71" s="216"/>
      <c r="D71" s="216"/>
      <c r="E71" s="216"/>
      <c r="F71" s="216"/>
      <c r="H71" s="91"/>
    </row>
    <row r="72" spans="1:8" ht="60.75" customHeight="1">
      <c r="A72" s="216" t="s">
        <v>418</v>
      </c>
      <c r="B72" s="216"/>
      <c r="C72" s="216"/>
      <c r="D72" s="216"/>
      <c r="E72" s="216"/>
      <c r="F72" s="216"/>
      <c r="H72" s="91"/>
    </row>
    <row r="73" spans="1:8" ht="50.25" customHeight="1">
      <c r="A73" s="216" t="s">
        <v>419</v>
      </c>
      <c r="B73" s="216"/>
      <c r="C73" s="216"/>
      <c r="D73" s="216"/>
      <c r="E73" s="216"/>
      <c r="F73" s="216"/>
      <c r="H73" s="91"/>
    </row>
    <row r="74" spans="1:8" ht="42" customHeight="1">
      <c r="A74" s="216" t="s">
        <v>420</v>
      </c>
      <c r="B74" s="216"/>
      <c r="C74" s="216"/>
      <c r="D74" s="216"/>
      <c r="E74" s="216"/>
      <c r="F74" s="216"/>
      <c r="H74" s="91"/>
    </row>
    <row r="75" spans="1:8" ht="76.5" customHeight="1">
      <c r="A75" s="215" t="s">
        <v>429</v>
      </c>
      <c r="B75" s="215"/>
      <c r="C75" s="215"/>
      <c r="D75" s="215"/>
      <c r="E75" s="215"/>
      <c r="F75" s="215"/>
    </row>
    <row r="76" spans="1:8" ht="100.5" customHeight="1">
      <c r="A76" s="215" t="s">
        <v>305</v>
      </c>
      <c r="B76" s="215"/>
      <c r="C76" s="215"/>
      <c r="D76" s="215"/>
      <c r="E76" s="215"/>
      <c r="F76" s="215"/>
    </row>
    <row r="77" spans="1:8" ht="101.25" customHeight="1">
      <c r="A77" s="215" t="s">
        <v>435</v>
      </c>
      <c r="B77" s="215"/>
      <c r="C77" s="215"/>
      <c r="D77" s="215"/>
      <c r="E77" s="215"/>
      <c r="F77" s="215"/>
    </row>
    <row r="78" spans="1:8" ht="49.5" customHeight="1">
      <c r="A78" s="215" t="s">
        <v>448</v>
      </c>
      <c r="B78" s="215"/>
      <c r="C78" s="215"/>
      <c r="D78" s="215"/>
      <c r="E78" s="215"/>
      <c r="F78" s="215"/>
    </row>
    <row r="79" spans="1:8" ht="38.25" customHeight="1">
      <c r="A79" s="216" t="s">
        <v>421</v>
      </c>
      <c r="B79" s="216"/>
      <c r="C79" s="216"/>
      <c r="D79" s="216"/>
      <c r="E79" s="216"/>
      <c r="F79" s="216"/>
    </row>
    <row r="80" spans="1:8" ht="86.25" customHeight="1">
      <c r="A80" s="216" t="s">
        <v>445</v>
      </c>
      <c r="B80" s="216"/>
      <c r="C80" s="216"/>
      <c r="D80" s="216"/>
      <c r="E80" s="216"/>
      <c r="F80" s="216"/>
      <c r="H80" s="92"/>
    </row>
    <row r="81" spans="1:8" ht="61.5" customHeight="1">
      <c r="A81" s="216" t="s">
        <v>457</v>
      </c>
      <c r="B81" s="216"/>
      <c r="C81" s="216"/>
      <c r="D81" s="216"/>
      <c r="E81" s="216"/>
      <c r="F81" s="216"/>
      <c r="H81" s="92"/>
    </row>
    <row r="82" spans="1:8" ht="120" customHeight="1">
      <c r="A82" s="216" t="s">
        <v>422</v>
      </c>
      <c r="B82" s="216"/>
      <c r="C82" s="216"/>
      <c r="D82" s="216"/>
      <c r="E82" s="216"/>
      <c r="F82" s="216"/>
      <c r="H82" s="92"/>
    </row>
    <row r="83" spans="1:8" ht="80.25" customHeight="1">
      <c r="A83" s="216" t="s">
        <v>461</v>
      </c>
      <c r="B83" s="216"/>
      <c r="C83" s="216"/>
      <c r="D83" s="216"/>
      <c r="E83" s="216"/>
      <c r="F83" s="216"/>
      <c r="H83" s="92"/>
    </row>
    <row r="84" spans="1:8" ht="115.5" customHeight="1">
      <c r="A84" s="216" t="s">
        <v>423</v>
      </c>
      <c r="B84" s="216"/>
      <c r="C84" s="216"/>
      <c r="D84" s="216"/>
      <c r="E84" s="216"/>
      <c r="F84" s="216"/>
      <c r="H84" s="92"/>
    </row>
    <row r="85" spans="1:8" ht="102" customHeight="1">
      <c r="A85" s="216" t="s">
        <v>452</v>
      </c>
      <c r="B85" s="216"/>
      <c r="C85" s="216"/>
      <c r="D85" s="216"/>
      <c r="E85" s="216"/>
      <c r="F85" s="216"/>
      <c r="H85" s="92"/>
    </row>
    <row r="86" spans="1:8" ht="18.75" customHeight="1">
      <c r="A86" s="218" t="s">
        <v>72</v>
      </c>
      <c r="B86" s="218"/>
      <c r="C86" s="218"/>
      <c r="D86" s="218"/>
      <c r="E86" s="218"/>
      <c r="F86" s="218"/>
      <c r="H86" s="92"/>
    </row>
    <row r="87" spans="1:8" ht="131.25" customHeight="1">
      <c r="A87" s="216" t="s">
        <v>436</v>
      </c>
      <c r="B87" s="216"/>
      <c r="C87" s="216"/>
      <c r="D87" s="216"/>
      <c r="E87" s="216"/>
      <c r="F87" s="216"/>
      <c r="H87" s="92"/>
    </row>
    <row r="88" spans="1:8" ht="35.25" customHeight="1">
      <c r="A88" s="216" t="s">
        <v>324</v>
      </c>
      <c r="B88" s="216"/>
      <c r="C88" s="216"/>
      <c r="D88" s="216"/>
      <c r="E88" s="216"/>
      <c r="F88" s="216"/>
      <c r="H88" s="92"/>
    </row>
    <row r="89" spans="1:8" ht="93" customHeight="1">
      <c r="A89" s="216" t="s">
        <v>446</v>
      </c>
      <c r="B89" s="216"/>
      <c r="C89" s="216"/>
      <c r="D89" s="216"/>
      <c r="E89" s="216"/>
      <c r="F89" s="216"/>
      <c r="H89" s="92"/>
    </row>
    <row r="90" spans="1:8" ht="19.5" customHeight="1">
      <c r="A90" s="217" t="s">
        <v>251</v>
      </c>
      <c r="B90" s="215"/>
      <c r="C90" s="215"/>
      <c r="D90" s="215"/>
      <c r="E90" s="215"/>
      <c r="F90" s="215"/>
      <c r="H90" s="92"/>
    </row>
    <row r="91" spans="1:8" ht="48" customHeight="1">
      <c r="A91" s="215" t="s">
        <v>431</v>
      </c>
      <c r="B91" s="215"/>
      <c r="C91" s="215"/>
      <c r="D91" s="215"/>
      <c r="E91" s="215"/>
      <c r="F91" s="215"/>
      <c r="H91" s="92"/>
    </row>
    <row r="92" spans="1:8" ht="22.5" customHeight="1">
      <c r="A92" s="215" t="s">
        <v>424</v>
      </c>
      <c r="B92" s="215"/>
      <c r="C92" s="215"/>
      <c r="D92" s="215"/>
      <c r="E92" s="215"/>
      <c r="F92" s="215"/>
      <c r="H92" s="92"/>
    </row>
    <row r="93" spans="1:8" ht="39" customHeight="1">
      <c r="A93" s="215" t="s">
        <v>432</v>
      </c>
      <c r="B93" s="215"/>
      <c r="C93" s="215"/>
      <c r="D93" s="215"/>
      <c r="E93" s="215"/>
      <c r="F93" s="215"/>
      <c r="H93" s="93"/>
    </row>
    <row r="94" spans="1:8" ht="18.75" customHeight="1">
      <c r="A94" s="215" t="s">
        <v>425</v>
      </c>
      <c r="B94" s="215"/>
      <c r="C94" s="215"/>
      <c r="D94" s="215"/>
      <c r="E94" s="215"/>
      <c r="F94" s="215"/>
      <c r="H94" s="93"/>
    </row>
    <row r="95" spans="1:8" ht="21" customHeight="1">
      <c r="A95" s="215" t="s">
        <v>427</v>
      </c>
      <c r="B95" s="215"/>
      <c r="C95" s="215"/>
      <c r="D95" s="215"/>
      <c r="E95" s="215"/>
      <c r="F95" s="215"/>
      <c r="H95" s="93"/>
    </row>
    <row r="96" spans="1:8" ht="60.75" customHeight="1">
      <c r="A96" s="217" t="s">
        <v>426</v>
      </c>
      <c r="B96" s="217"/>
      <c r="C96" s="217"/>
      <c r="D96" s="217"/>
      <c r="E96" s="217"/>
      <c r="F96" s="217"/>
      <c r="H96" s="93"/>
    </row>
    <row r="97" spans="1:14" s="79" customFormat="1" ht="24" customHeight="1">
      <c r="A97" s="137" t="s">
        <v>245</v>
      </c>
      <c r="B97" s="137"/>
      <c r="C97" s="137"/>
      <c r="D97" s="137"/>
      <c r="E97" s="137"/>
      <c r="F97" s="137"/>
      <c r="G97" s="92"/>
      <c r="H97" s="92"/>
      <c r="I97" s="92"/>
      <c r="J97" s="92"/>
    </row>
    <row r="98" spans="1:14" ht="31.5" customHeight="1">
      <c r="A98" s="225" t="s">
        <v>87</v>
      </c>
      <c r="B98" s="225"/>
      <c r="C98" s="225"/>
      <c r="D98" s="225"/>
      <c r="E98" s="225"/>
      <c r="F98" s="225"/>
      <c r="G98" s="92"/>
      <c r="H98" s="92"/>
      <c r="I98" s="92"/>
      <c r="J98" s="92"/>
    </row>
    <row r="99" spans="1:14" ht="22.5" customHeight="1">
      <c r="A99" s="216" t="s">
        <v>298</v>
      </c>
      <c r="B99" s="216"/>
      <c r="C99" s="216"/>
      <c r="D99" s="216"/>
      <c r="E99" s="216"/>
      <c r="F99" s="216"/>
      <c r="G99" s="92"/>
      <c r="I99" s="92"/>
      <c r="J99" s="92"/>
    </row>
    <row r="100" spans="1:14" s="92" customFormat="1" ht="51" customHeight="1">
      <c r="A100" s="216" t="s">
        <v>438</v>
      </c>
      <c r="B100" s="216"/>
      <c r="C100" s="216"/>
      <c r="D100" s="216"/>
      <c r="E100" s="216"/>
      <c r="F100" s="216"/>
      <c r="M100" s="80"/>
      <c r="N100" s="80"/>
    </row>
    <row r="101" spans="1:14" s="92" customFormat="1" ht="51" customHeight="1">
      <c r="A101" s="216" t="s">
        <v>441</v>
      </c>
      <c r="B101" s="216"/>
      <c r="C101" s="216"/>
      <c r="D101" s="216"/>
      <c r="E101" s="216"/>
      <c r="F101" s="216"/>
      <c r="M101" s="80"/>
      <c r="N101" s="80"/>
    </row>
    <row r="102" spans="1:14" s="49" customFormat="1" ht="28.5" customHeight="1">
      <c r="A102" s="15"/>
      <c r="B102" s="15"/>
      <c r="C102" s="15"/>
      <c r="D102" s="15"/>
      <c r="E102" s="15"/>
      <c r="F102" s="20" t="s">
        <v>21</v>
      </c>
      <c r="G102" s="5"/>
      <c r="H102" s="11"/>
      <c r="I102" s="5"/>
      <c r="J102" s="5"/>
      <c r="M102" s="19"/>
      <c r="N102" s="19"/>
    </row>
    <row r="103" spans="1:14" ht="18.75">
      <c r="A103" s="132" t="s">
        <v>1</v>
      </c>
      <c r="B103" s="224" t="s">
        <v>2</v>
      </c>
      <c r="C103" s="224"/>
      <c r="D103" s="132" t="s">
        <v>3</v>
      </c>
      <c r="E103" s="132" t="s">
        <v>4</v>
      </c>
      <c r="F103" s="132" t="s">
        <v>5</v>
      </c>
      <c r="H103" s="92"/>
    </row>
    <row r="104" spans="1:14" ht="18.75">
      <c r="A104" s="219" t="s">
        <v>30</v>
      </c>
      <c r="B104" s="133" t="s">
        <v>315</v>
      </c>
      <c r="C104" s="134"/>
      <c r="D104" s="111">
        <v>1678</v>
      </c>
      <c r="E104" s="109">
        <f>-7.3-100+30-13</f>
        <v>-90.3</v>
      </c>
      <c r="F104" s="110">
        <f t="shared" ref="F104" si="3">SUM(D104:E104)</f>
        <v>1587.7</v>
      </c>
      <c r="H104" s="92"/>
    </row>
    <row r="105" spans="1:14" ht="18.75">
      <c r="A105" s="220"/>
      <c r="B105" s="133" t="s">
        <v>412</v>
      </c>
      <c r="C105" s="134"/>
      <c r="D105" s="111">
        <v>5.9</v>
      </c>
      <c r="E105" s="109">
        <v>-5.9</v>
      </c>
      <c r="F105" s="110">
        <f t="shared" ref="F105" si="4">SUM(D105:E105)</f>
        <v>0</v>
      </c>
      <c r="H105" s="92"/>
    </row>
    <row r="106" spans="1:14" ht="18.75">
      <c r="A106" s="220"/>
      <c r="B106" s="133" t="s">
        <v>433</v>
      </c>
      <c r="C106" s="134"/>
      <c r="D106" s="111">
        <v>31185.1</v>
      </c>
      <c r="E106" s="109">
        <f>65-212.9</f>
        <v>-147.9</v>
      </c>
      <c r="F106" s="110">
        <f t="shared" ref="F106" si="5">SUM(D106:E106)</f>
        <v>31037.199999999997</v>
      </c>
      <c r="H106" s="92"/>
    </row>
    <row r="107" spans="1:14" ht="18.75">
      <c r="A107" s="220"/>
      <c r="B107" s="133" t="s">
        <v>247</v>
      </c>
      <c r="C107" s="134"/>
      <c r="D107" s="111">
        <v>17598.599999999999</v>
      </c>
      <c r="E107" s="109">
        <f>-20-30+92.1+15.5+74.1+5.9-65-30+85</f>
        <v>127.6</v>
      </c>
      <c r="F107" s="110">
        <f t="shared" ref="F107" si="6">SUM(D107:E107)</f>
        <v>17726.199999999997</v>
      </c>
      <c r="H107" s="92"/>
    </row>
    <row r="108" spans="1:14" ht="18.75">
      <c r="A108" s="220"/>
      <c r="B108" s="133" t="s">
        <v>311</v>
      </c>
      <c r="C108" s="134"/>
      <c r="D108" s="111">
        <v>434.3</v>
      </c>
      <c r="E108" s="109">
        <f>-40-98-19.1-34.3+100</f>
        <v>-91.399999999999977</v>
      </c>
      <c r="F108" s="110">
        <f t="shared" ref="F108:F157" si="7">SUM(D108:E108)</f>
        <v>342.90000000000003</v>
      </c>
      <c r="H108" s="92"/>
    </row>
    <row r="109" spans="1:14" ht="18.75">
      <c r="A109" s="220"/>
      <c r="B109" s="133" t="s">
        <v>255</v>
      </c>
      <c r="C109" s="134"/>
      <c r="D109" s="111">
        <v>252.2</v>
      </c>
      <c r="E109" s="109">
        <f>50+40+5.9+10.9+60.2+40.9</f>
        <v>207.9</v>
      </c>
      <c r="F109" s="110">
        <f t="shared" si="7"/>
        <v>460.1</v>
      </c>
      <c r="H109" s="92"/>
    </row>
    <row r="110" spans="1:14" ht="18.75">
      <c r="A110" s="220"/>
      <c r="B110" s="133" t="s">
        <v>415</v>
      </c>
      <c r="C110" s="134"/>
      <c r="D110" s="111">
        <v>115</v>
      </c>
      <c r="E110" s="109">
        <v>-7.3506400000000003</v>
      </c>
      <c r="F110" s="110">
        <f t="shared" si="7"/>
        <v>107.64936</v>
      </c>
      <c r="H110" s="92"/>
    </row>
    <row r="111" spans="1:14" ht="18.75">
      <c r="A111" s="220"/>
      <c r="B111" s="133" t="s">
        <v>416</v>
      </c>
      <c r="C111" s="134"/>
      <c r="D111" s="111">
        <v>0</v>
      </c>
      <c r="E111" s="109">
        <v>7.3506400000000003</v>
      </c>
      <c r="F111" s="110">
        <f t="shared" si="7"/>
        <v>7.3506400000000003</v>
      </c>
      <c r="H111" s="92"/>
    </row>
    <row r="112" spans="1:14" s="92" customFormat="1" ht="18.75">
      <c r="A112" s="220"/>
      <c r="B112" s="133" t="s">
        <v>309</v>
      </c>
      <c r="C112" s="134"/>
      <c r="D112" s="111">
        <v>6711.5</v>
      </c>
      <c r="E112" s="109">
        <v>-1.5</v>
      </c>
      <c r="F112" s="110">
        <f t="shared" ref="F112" si="8">SUM(D112:E112)</f>
        <v>6710</v>
      </c>
      <c r="L112" s="80"/>
      <c r="M112" s="80"/>
    </row>
    <row r="113" spans="1:13" s="92" customFormat="1" ht="18.75">
      <c r="A113" s="220"/>
      <c r="B113" s="133" t="s">
        <v>310</v>
      </c>
      <c r="C113" s="134"/>
      <c r="D113" s="111">
        <v>68.900000000000006</v>
      </c>
      <c r="E113" s="109">
        <v>1.5</v>
      </c>
      <c r="F113" s="110">
        <f t="shared" ref="F113:F130" si="9">SUM(D113:E113)</f>
        <v>70.400000000000006</v>
      </c>
      <c r="L113" s="80"/>
      <c r="M113" s="80"/>
    </row>
    <row r="114" spans="1:13" s="92" customFormat="1" ht="18.75">
      <c r="A114" s="220"/>
      <c r="B114" s="133" t="s">
        <v>312</v>
      </c>
      <c r="C114" s="134"/>
      <c r="D114" s="111">
        <v>80.099999999999994</v>
      </c>
      <c r="E114" s="109">
        <v>-38.799999999999997</v>
      </c>
      <c r="F114" s="110">
        <f t="shared" si="9"/>
        <v>41.3</v>
      </c>
      <c r="L114" s="80"/>
      <c r="M114" s="80"/>
    </row>
    <row r="115" spans="1:13" s="92" customFormat="1" ht="18.75">
      <c r="A115" s="220"/>
      <c r="B115" s="133" t="s">
        <v>313</v>
      </c>
      <c r="C115" s="134"/>
      <c r="D115" s="111">
        <v>16287.6</v>
      </c>
      <c r="E115" s="109">
        <v>38.799999999999997</v>
      </c>
      <c r="F115" s="110">
        <f t="shared" si="9"/>
        <v>16326.4</v>
      </c>
      <c r="L115" s="80"/>
      <c r="M115" s="80"/>
    </row>
    <row r="116" spans="1:13" s="92" customFormat="1" ht="18.75">
      <c r="A116" s="220"/>
      <c r="B116" s="133" t="s">
        <v>326</v>
      </c>
      <c r="C116" s="134"/>
      <c r="D116" s="111">
        <v>827.6</v>
      </c>
      <c r="E116" s="109">
        <v>95.6</v>
      </c>
      <c r="F116" s="110">
        <f t="shared" si="9"/>
        <v>923.2</v>
      </c>
      <c r="L116" s="80"/>
      <c r="M116" s="80"/>
    </row>
    <row r="117" spans="1:13" s="92" customFormat="1" ht="18.75">
      <c r="A117" s="220"/>
      <c r="B117" s="133" t="s">
        <v>410</v>
      </c>
      <c r="C117" s="134"/>
      <c r="D117" s="111">
        <v>3135.7</v>
      </c>
      <c r="E117" s="109">
        <v>-1.7</v>
      </c>
      <c r="F117" s="110">
        <f t="shared" si="9"/>
        <v>3134</v>
      </c>
      <c r="L117" s="80"/>
      <c r="M117" s="80"/>
    </row>
    <row r="118" spans="1:13" s="92" customFormat="1" ht="18.75">
      <c r="A118" s="220"/>
      <c r="B118" s="133" t="s">
        <v>411</v>
      </c>
      <c r="C118" s="134"/>
      <c r="D118" s="111">
        <v>1219.4000000000001</v>
      </c>
      <c r="E118" s="109">
        <v>59.8</v>
      </c>
      <c r="F118" s="110">
        <f t="shared" si="9"/>
        <v>1279.2</v>
      </c>
      <c r="K118" s="80"/>
      <c r="L118" s="80"/>
    </row>
    <row r="119" spans="1:13" s="92" customFormat="1" ht="18.75">
      <c r="A119" s="220"/>
      <c r="B119" s="133" t="s">
        <v>409</v>
      </c>
      <c r="C119" s="134"/>
      <c r="D119" s="111">
        <v>115.1</v>
      </c>
      <c r="E119" s="109">
        <v>-2.2000000000000002</v>
      </c>
      <c r="F119" s="110">
        <f t="shared" si="9"/>
        <v>112.89999999999999</v>
      </c>
      <c r="K119" s="80"/>
      <c r="L119" s="80"/>
    </row>
    <row r="120" spans="1:13" s="92" customFormat="1" ht="18.75">
      <c r="A120" s="220"/>
      <c r="B120" s="133" t="s">
        <v>408</v>
      </c>
      <c r="C120" s="134"/>
      <c r="D120" s="111">
        <v>1</v>
      </c>
      <c r="E120" s="109">
        <v>2.2000000000000002</v>
      </c>
      <c r="F120" s="110">
        <f t="shared" si="9"/>
        <v>3.2</v>
      </c>
      <c r="K120" s="80"/>
      <c r="L120" s="80"/>
    </row>
    <row r="121" spans="1:13" s="92" customFormat="1" ht="18.75">
      <c r="A121" s="220"/>
      <c r="B121" s="133" t="s">
        <v>322</v>
      </c>
      <c r="C121" s="134"/>
      <c r="D121" s="111">
        <v>407306.5</v>
      </c>
      <c r="E121" s="109">
        <v>-407306.5</v>
      </c>
      <c r="F121" s="110">
        <f t="shared" si="9"/>
        <v>0</v>
      </c>
      <c r="K121" s="80"/>
      <c r="L121" s="80"/>
    </row>
    <row r="122" spans="1:13" s="92" customFormat="1" ht="18.75">
      <c r="A122" s="220"/>
      <c r="B122" s="133" t="s">
        <v>323</v>
      </c>
      <c r="C122" s="134"/>
      <c r="D122" s="111">
        <v>0</v>
      </c>
      <c r="E122" s="109">
        <v>407306.5</v>
      </c>
      <c r="F122" s="110">
        <f t="shared" si="9"/>
        <v>407306.5</v>
      </c>
      <c r="K122" s="80"/>
      <c r="L122" s="80"/>
    </row>
    <row r="123" spans="1:13" s="92" customFormat="1" ht="18.75">
      <c r="A123" s="220"/>
      <c r="B123" s="133" t="s">
        <v>451</v>
      </c>
      <c r="C123" s="134"/>
      <c r="D123" s="111">
        <v>22018.7</v>
      </c>
      <c r="E123" s="109">
        <v>1508</v>
      </c>
      <c r="F123" s="110">
        <f t="shared" ref="F123" si="10">SUM(D123:E123)</f>
        <v>23526.7</v>
      </c>
      <c r="L123" s="80"/>
      <c r="M123" s="80"/>
    </row>
    <row r="124" spans="1:13" s="92" customFormat="1" ht="18.75">
      <c r="A124" s="220"/>
      <c r="B124" s="133" t="s">
        <v>302</v>
      </c>
      <c r="C124" s="134"/>
      <c r="D124" s="111">
        <v>7039.8</v>
      </c>
      <c r="E124" s="109">
        <f>-422-1508</f>
        <v>-1930</v>
      </c>
      <c r="F124" s="110">
        <f t="shared" si="9"/>
        <v>5109.8</v>
      </c>
      <c r="L124" s="80"/>
      <c r="M124" s="80"/>
    </row>
    <row r="125" spans="1:13" s="92" customFormat="1" ht="18.75">
      <c r="A125" s="220"/>
      <c r="B125" s="133" t="s">
        <v>295</v>
      </c>
      <c r="C125" s="134"/>
      <c r="D125" s="111">
        <v>3343</v>
      </c>
      <c r="E125" s="109">
        <f>-598.8-98.2</f>
        <v>-697</v>
      </c>
      <c r="F125" s="110">
        <f t="shared" si="9"/>
        <v>2646</v>
      </c>
      <c r="L125" s="80"/>
      <c r="M125" s="80"/>
    </row>
    <row r="126" spans="1:13" s="92" customFormat="1" ht="18.75">
      <c r="A126" s="220"/>
      <c r="B126" s="133" t="s">
        <v>434</v>
      </c>
      <c r="C126" s="134"/>
      <c r="D126" s="111">
        <v>0</v>
      </c>
      <c r="E126" s="109">
        <v>98.2</v>
      </c>
      <c r="F126" s="110">
        <f t="shared" si="9"/>
        <v>98.2</v>
      </c>
      <c r="L126" s="80"/>
      <c r="M126" s="80"/>
    </row>
    <row r="127" spans="1:13" s="92" customFormat="1" ht="18.75">
      <c r="A127" s="221"/>
      <c r="B127" s="133" t="s">
        <v>296</v>
      </c>
      <c r="C127" s="134"/>
      <c r="D127" s="111">
        <v>3994.8</v>
      </c>
      <c r="E127" s="109">
        <f>598.8+422</f>
        <v>1020.8</v>
      </c>
      <c r="F127" s="110">
        <f t="shared" si="9"/>
        <v>5015.6000000000004</v>
      </c>
      <c r="L127" s="80"/>
      <c r="M127" s="80"/>
    </row>
    <row r="128" spans="1:13" s="92" customFormat="1" ht="18.75">
      <c r="A128" s="214" t="s">
        <v>329</v>
      </c>
      <c r="B128" s="133" t="s">
        <v>330</v>
      </c>
      <c r="C128" s="134"/>
      <c r="D128" s="111">
        <v>1253.3</v>
      </c>
      <c r="E128" s="109">
        <v>-32.799999999999997</v>
      </c>
      <c r="F128" s="110">
        <f t="shared" si="9"/>
        <v>1220.5</v>
      </c>
      <c r="L128" s="80"/>
      <c r="M128" s="80"/>
    </row>
    <row r="129" spans="1:13" s="92" customFormat="1" ht="18.75">
      <c r="A129" s="214"/>
      <c r="B129" s="133" t="s">
        <v>331</v>
      </c>
      <c r="C129" s="134"/>
      <c r="D129" s="111">
        <v>2369.3000000000002</v>
      </c>
      <c r="E129" s="109">
        <f>32.8-16.8</f>
        <v>15.999999999999996</v>
      </c>
      <c r="F129" s="110">
        <f t="shared" ref="F129" si="11">SUM(D129:E129)</f>
        <v>2385.3000000000002</v>
      </c>
      <c r="L129" s="80"/>
      <c r="M129" s="80"/>
    </row>
    <row r="130" spans="1:13" s="92" customFormat="1" ht="18.75">
      <c r="A130" s="214"/>
      <c r="B130" s="133" t="s">
        <v>447</v>
      </c>
      <c r="C130" s="134"/>
      <c r="D130" s="111">
        <v>501.5</v>
      </c>
      <c r="E130" s="109">
        <v>16.8</v>
      </c>
      <c r="F130" s="110">
        <f t="shared" si="9"/>
        <v>518.29999999999995</v>
      </c>
      <c r="L130" s="80"/>
      <c r="M130" s="80"/>
    </row>
    <row r="131" spans="1:13" ht="18.75">
      <c r="A131" s="214" t="s">
        <v>34</v>
      </c>
      <c r="B131" s="112" t="s">
        <v>253</v>
      </c>
      <c r="C131" s="113"/>
      <c r="D131" s="111">
        <v>1134.8</v>
      </c>
      <c r="E131" s="109">
        <f>130+10</f>
        <v>140</v>
      </c>
      <c r="F131" s="110">
        <f t="shared" ref="F131:F137" si="12">SUM(D131:E131)</f>
        <v>1274.8</v>
      </c>
      <c r="G131" s="92"/>
      <c r="K131" s="92"/>
    </row>
    <row r="132" spans="1:13" ht="18.75">
      <c r="A132" s="214"/>
      <c r="B132" s="112" t="s">
        <v>332</v>
      </c>
      <c r="C132" s="113"/>
      <c r="D132" s="111">
        <v>10</v>
      </c>
      <c r="E132" s="109">
        <v>-10</v>
      </c>
      <c r="F132" s="110">
        <f t="shared" si="12"/>
        <v>0</v>
      </c>
      <c r="G132" s="92"/>
      <c r="K132" s="92"/>
    </row>
    <row r="133" spans="1:13" s="92" customFormat="1" ht="18.75">
      <c r="A133" s="214"/>
      <c r="B133" s="112" t="s">
        <v>297</v>
      </c>
      <c r="C133" s="113"/>
      <c r="D133" s="111">
        <v>500</v>
      </c>
      <c r="E133" s="109">
        <f>-130-150+73.9</f>
        <v>-206.1</v>
      </c>
      <c r="F133" s="110">
        <f t="shared" ref="F133:F135" si="13">SUM(D133:E133)</f>
        <v>293.89999999999998</v>
      </c>
      <c r="G133" s="80"/>
      <c r="H133" s="80"/>
      <c r="K133" s="80"/>
    </row>
    <row r="134" spans="1:13" s="92" customFormat="1" ht="18.75">
      <c r="A134" s="214"/>
      <c r="B134" s="112" t="s">
        <v>454</v>
      </c>
      <c r="C134" s="113"/>
      <c r="D134" s="111">
        <v>560</v>
      </c>
      <c r="E134" s="109">
        <v>-10</v>
      </c>
      <c r="F134" s="110">
        <f t="shared" si="13"/>
        <v>550</v>
      </c>
      <c r="G134" s="80"/>
      <c r="H134" s="80"/>
      <c r="K134" s="80"/>
    </row>
    <row r="135" spans="1:13" s="92" customFormat="1" ht="18.75">
      <c r="A135" s="214"/>
      <c r="B135" s="112" t="s">
        <v>314</v>
      </c>
      <c r="C135" s="113"/>
      <c r="D135" s="111">
        <v>500</v>
      </c>
      <c r="E135" s="109">
        <v>150</v>
      </c>
      <c r="F135" s="110">
        <f t="shared" si="13"/>
        <v>650</v>
      </c>
      <c r="G135" s="80"/>
      <c r="H135" s="80"/>
      <c r="K135" s="80"/>
    </row>
    <row r="136" spans="1:13" s="92" customFormat="1" ht="18.75">
      <c r="A136" s="214"/>
      <c r="B136" s="112" t="s">
        <v>453</v>
      </c>
      <c r="C136" s="113"/>
      <c r="D136" s="111">
        <v>853</v>
      </c>
      <c r="E136" s="109">
        <v>-160</v>
      </c>
      <c r="F136" s="110">
        <f t="shared" ref="F136" si="14">SUM(D136:E136)</f>
        <v>693</v>
      </c>
      <c r="G136" s="80"/>
      <c r="H136" s="80"/>
      <c r="K136" s="80"/>
    </row>
    <row r="137" spans="1:13" s="92" customFormat="1" ht="18.75">
      <c r="A137" s="214"/>
      <c r="B137" s="112" t="s">
        <v>413</v>
      </c>
      <c r="C137" s="113"/>
      <c r="D137" s="111">
        <v>1000</v>
      </c>
      <c r="E137" s="109">
        <v>-300</v>
      </c>
      <c r="F137" s="110">
        <f t="shared" si="12"/>
        <v>700</v>
      </c>
      <c r="G137" s="80"/>
      <c r="H137" s="80"/>
      <c r="K137" s="80"/>
    </row>
    <row r="138" spans="1:13" s="92" customFormat="1" ht="18.75">
      <c r="A138" s="214"/>
      <c r="B138" s="112" t="s">
        <v>414</v>
      </c>
      <c r="C138" s="113"/>
      <c r="D138" s="111">
        <v>1163.7</v>
      </c>
      <c r="E138" s="109">
        <f>300+96.1</f>
        <v>396.1</v>
      </c>
      <c r="F138" s="110">
        <f t="shared" si="7"/>
        <v>1559.8000000000002</v>
      </c>
      <c r="G138" s="80"/>
      <c r="H138" s="80"/>
      <c r="K138" s="80"/>
    </row>
    <row r="139" spans="1:13" s="92" customFormat="1" ht="18.75">
      <c r="A139" s="219" t="s">
        <v>8</v>
      </c>
      <c r="B139" s="133" t="s">
        <v>306</v>
      </c>
      <c r="C139" s="114"/>
      <c r="D139" s="111">
        <v>0</v>
      </c>
      <c r="E139" s="109">
        <f>650.3+3118.1</f>
        <v>3768.3999999999996</v>
      </c>
      <c r="F139" s="110">
        <f t="shared" si="7"/>
        <v>3768.3999999999996</v>
      </c>
      <c r="G139" s="80"/>
      <c r="H139" s="80"/>
      <c r="K139" s="80"/>
    </row>
    <row r="140" spans="1:13" s="92" customFormat="1" ht="18.75">
      <c r="A140" s="220"/>
      <c r="B140" s="133" t="s">
        <v>307</v>
      </c>
      <c r="C140" s="114"/>
      <c r="D140" s="111">
        <v>805.9</v>
      </c>
      <c r="E140" s="109">
        <v>-650.29999999999995</v>
      </c>
      <c r="F140" s="110">
        <f t="shared" si="7"/>
        <v>155.60000000000002</v>
      </c>
      <c r="G140" s="80"/>
      <c r="H140" s="80"/>
      <c r="K140" s="80"/>
    </row>
    <row r="141" spans="1:13" s="92" customFormat="1" ht="18.75">
      <c r="A141" s="220"/>
      <c r="B141" s="133" t="s">
        <v>449</v>
      </c>
      <c r="C141" s="114"/>
      <c r="D141" s="111">
        <v>8358.7000000000007</v>
      </c>
      <c r="E141" s="109">
        <v>-3118.1</v>
      </c>
      <c r="F141" s="110">
        <f t="shared" si="7"/>
        <v>5240.6000000000004</v>
      </c>
      <c r="G141" s="80"/>
      <c r="H141" s="80"/>
      <c r="K141" s="80"/>
    </row>
    <row r="142" spans="1:13" s="92" customFormat="1" ht="18.75">
      <c r="A142" s="220"/>
      <c r="B142" s="133" t="s">
        <v>333</v>
      </c>
      <c r="C142" s="134"/>
      <c r="D142" s="109">
        <v>9836.4</v>
      </c>
      <c r="E142" s="109">
        <f>170-195</f>
        <v>-25</v>
      </c>
      <c r="F142" s="115">
        <f t="shared" ref="F142" si="15">SUM(D142:E142)</f>
        <v>9811.4</v>
      </c>
      <c r="G142" s="80"/>
      <c r="H142" s="80"/>
      <c r="I142" s="80"/>
      <c r="L142" s="80"/>
    </row>
    <row r="143" spans="1:13" s="92" customFormat="1" ht="18.75">
      <c r="A143" s="220"/>
      <c r="B143" s="133" t="s">
        <v>246</v>
      </c>
      <c r="C143" s="134"/>
      <c r="D143" s="109">
        <f>123284.2-551</f>
        <v>122733.2</v>
      </c>
      <c r="E143" s="109">
        <f>365-539+52.2</f>
        <v>-121.8</v>
      </c>
      <c r="F143" s="115">
        <f t="shared" ref="F143" si="16">SUM(D143:E143)</f>
        <v>122611.4</v>
      </c>
      <c r="G143" s="80"/>
      <c r="H143" s="80"/>
      <c r="I143" s="80"/>
      <c r="L143" s="80"/>
    </row>
    <row r="144" spans="1:13" s="92" customFormat="1" ht="18.75">
      <c r="A144" s="220"/>
      <c r="B144" s="133" t="s">
        <v>285</v>
      </c>
      <c r="C144" s="134"/>
      <c r="D144" s="109">
        <v>268.2</v>
      </c>
      <c r="E144" s="109">
        <v>13</v>
      </c>
      <c r="F144" s="115">
        <f t="shared" si="7"/>
        <v>281.2</v>
      </c>
      <c r="G144" s="80"/>
      <c r="H144" s="80"/>
      <c r="I144" s="80"/>
      <c r="J144" s="80"/>
      <c r="M144" s="80"/>
    </row>
    <row r="145" spans="1:13" s="92" customFormat="1" ht="18.75">
      <c r="A145" s="220"/>
      <c r="B145" s="133" t="s">
        <v>257</v>
      </c>
      <c r="C145" s="134"/>
      <c r="D145" s="109">
        <v>54447.7</v>
      </c>
      <c r="E145" s="109">
        <f>99.5+1125-5.5+100</f>
        <v>1319</v>
      </c>
      <c r="F145" s="115">
        <f>SUM(D145:E145)</f>
        <v>55766.7</v>
      </c>
      <c r="G145" s="80"/>
      <c r="H145" s="80"/>
      <c r="I145" s="80"/>
      <c r="J145" s="80"/>
      <c r="M145" s="80"/>
    </row>
    <row r="146" spans="1:13" s="92" customFormat="1" ht="18.75">
      <c r="A146" s="220"/>
      <c r="B146" s="133" t="s">
        <v>334</v>
      </c>
      <c r="C146" s="134"/>
      <c r="D146" s="109">
        <v>8158.8</v>
      </c>
      <c r="E146" s="109">
        <v>204</v>
      </c>
      <c r="F146" s="115">
        <f t="shared" ref="F146" si="17">SUM(D146:E146)</f>
        <v>8362.7999999999993</v>
      </c>
      <c r="G146" s="80"/>
      <c r="H146" s="80"/>
      <c r="I146" s="80"/>
      <c r="J146" s="80"/>
      <c r="M146" s="80"/>
    </row>
    <row r="147" spans="1:13" s="92" customFormat="1" ht="18.75">
      <c r="A147" s="220"/>
      <c r="B147" s="133" t="s">
        <v>286</v>
      </c>
      <c r="C147" s="134"/>
      <c r="D147" s="109">
        <v>839.5</v>
      </c>
      <c r="E147" s="109">
        <v>-15</v>
      </c>
      <c r="F147" s="115">
        <f t="shared" ref="F147:F149" si="18">SUM(D147:E147)</f>
        <v>824.5</v>
      </c>
      <c r="G147" s="80"/>
      <c r="H147" s="80"/>
      <c r="I147" s="80"/>
      <c r="J147" s="80"/>
      <c r="M147" s="80"/>
    </row>
    <row r="148" spans="1:13" s="92" customFormat="1" ht="18.75">
      <c r="A148" s="220"/>
      <c r="B148" s="133" t="s">
        <v>308</v>
      </c>
      <c r="C148" s="134"/>
      <c r="D148" s="109">
        <v>1069.2</v>
      </c>
      <c r="E148" s="109">
        <f>5-529.2-30</f>
        <v>-554.20000000000005</v>
      </c>
      <c r="F148" s="115">
        <f t="shared" ref="F148" si="19">SUM(D148:E148)</f>
        <v>515</v>
      </c>
      <c r="G148" s="80"/>
      <c r="H148" s="80"/>
      <c r="I148" s="80"/>
      <c r="J148" s="80"/>
      <c r="M148" s="80"/>
    </row>
    <row r="149" spans="1:13" s="92" customFormat="1" ht="18.75">
      <c r="A149" s="220"/>
      <c r="B149" s="133" t="s">
        <v>339</v>
      </c>
      <c r="C149" s="134"/>
      <c r="D149" s="109">
        <v>41</v>
      </c>
      <c r="E149" s="109">
        <v>-39</v>
      </c>
      <c r="F149" s="115">
        <f t="shared" si="18"/>
        <v>2</v>
      </c>
      <c r="G149" s="80"/>
      <c r="H149" s="80"/>
      <c r="I149" s="80"/>
      <c r="J149" s="80"/>
      <c r="M149" s="80"/>
    </row>
    <row r="150" spans="1:13" s="92" customFormat="1" ht="18.75">
      <c r="A150" s="220"/>
      <c r="B150" s="133" t="s">
        <v>271</v>
      </c>
      <c r="C150" s="134"/>
      <c r="D150" s="109">
        <v>129622.5</v>
      </c>
      <c r="E150" s="109">
        <f>607-5-950+5.5+350</f>
        <v>7.5</v>
      </c>
      <c r="F150" s="115">
        <f t="shared" si="7"/>
        <v>129630</v>
      </c>
      <c r="G150" s="80"/>
      <c r="H150" s="80"/>
      <c r="I150" s="80"/>
      <c r="L150" s="80"/>
    </row>
    <row r="151" spans="1:13" s="92" customFormat="1" ht="18.75">
      <c r="A151" s="220"/>
      <c r="B151" s="133" t="s">
        <v>335</v>
      </c>
      <c r="C151" s="134"/>
      <c r="D151" s="109">
        <v>27094.3</v>
      </c>
      <c r="E151" s="109">
        <v>175.3</v>
      </c>
      <c r="F151" s="115">
        <f t="shared" si="7"/>
        <v>27269.599999999999</v>
      </c>
      <c r="G151" s="80"/>
      <c r="J151" s="80"/>
    </row>
    <row r="152" spans="1:13" s="92" customFormat="1" ht="18.75">
      <c r="A152" s="220"/>
      <c r="B152" s="133" t="s">
        <v>336</v>
      </c>
      <c r="C152" s="134"/>
      <c r="D152" s="109">
        <v>162804.6</v>
      </c>
      <c r="E152" s="109">
        <v>-175.3</v>
      </c>
      <c r="F152" s="115">
        <f t="shared" si="7"/>
        <v>162629.30000000002</v>
      </c>
      <c r="G152" s="80"/>
      <c r="H152" s="80"/>
      <c r="K152" s="80"/>
    </row>
    <row r="153" spans="1:13" s="92" customFormat="1" ht="18.75">
      <c r="A153" s="220"/>
      <c r="B153" s="133" t="s">
        <v>39</v>
      </c>
      <c r="C153" s="134"/>
      <c r="D153" s="109">
        <v>25071.4</v>
      </c>
      <c r="E153" s="109">
        <v>300</v>
      </c>
      <c r="F153" s="115">
        <f t="shared" ref="F153:F154" si="20">SUM(D153:E153)</f>
        <v>25371.4</v>
      </c>
      <c r="G153" s="80"/>
      <c r="J153" s="80"/>
    </row>
    <row r="154" spans="1:13" s="92" customFormat="1" ht="18.75">
      <c r="A154" s="220"/>
      <c r="B154" s="133" t="s">
        <v>183</v>
      </c>
      <c r="C154" s="134"/>
      <c r="D154" s="109">
        <v>2080</v>
      </c>
      <c r="E154" s="109">
        <v>-300</v>
      </c>
      <c r="F154" s="115">
        <f t="shared" si="20"/>
        <v>1780</v>
      </c>
      <c r="G154" s="80"/>
      <c r="H154" s="80"/>
      <c r="K154" s="80"/>
    </row>
    <row r="155" spans="1:13" s="92" customFormat="1" ht="18.75">
      <c r="A155" s="220"/>
      <c r="B155" s="133" t="s">
        <v>261</v>
      </c>
      <c r="C155" s="134"/>
      <c r="D155" s="109">
        <v>60873.9</v>
      </c>
      <c r="E155" s="109">
        <v>150.80000000000001</v>
      </c>
      <c r="F155" s="115">
        <f t="shared" si="7"/>
        <v>61024.700000000004</v>
      </c>
      <c r="G155" s="80"/>
      <c r="H155" s="80"/>
      <c r="K155" s="80"/>
    </row>
    <row r="156" spans="1:13" s="92" customFormat="1" ht="18.75">
      <c r="A156" s="220"/>
      <c r="B156" s="133" t="s">
        <v>262</v>
      </c>
      <c r="C156" s="134"/>
      <c r="D156" s="109">
        <v>257504.7</v>
      </c>
      <c r="E156" s="109">
        <v>-150.80000000000001</v>
      </c>
      <c r="F156" s="115">
        <f t="shared" si="7"/>
        <v>257353.90000000002</v>
      </c>
      <c r="G156" s="80"/>
      <c r="H156" s="80"/>
      <c r="I156" s="80"/>
      <c r="L156" s="80"/>
    </row>
    <row r="157" spans="1:13" s="92" customFormat="1" ht="18.75">
      <c r="A157" s="220"/>
      <c r="B157" s="133" t="s">
        <v>337</v>
      </c>
      <c r="C157" s="134"/>
      <c r="D157" s="109">
        <v>315</v>
      </c>
      <c r="E157" s="109">
        <v>49.7</v>
      </c>
      <c r="F157" s="115">
        <f t="shared" si="7"/>
        <v>364.7</v>
      </c>
      <c r="G157" s="80"/>
      <c r="H157" s="80"/>
      <c r="I157" s="80"/>
      <c r="L157" s="80"/>
    </row>
    <row r="158" spans="1:13" s="92" customFormat="1" ht="18.75">
      <c r="A158" s="220"/>
      <c r="B158" s="133" t="s">
        <v>287</v>
      </c>
      <c r="C158" s="134"/>
      <c r="D158" s="109">
        <v>17165.2</v>
      </c>
      <c r="E158" s="109">
        <f>-3+500-70</f>
        <v>427</v>
      </c>
      <c r="F158" s="115">
        <f t="shared" ref="F158:F159" si="21">SUM(D158:E158)</f>
        <v>17592.2</v>
      </c>
      <c r="G158" s="80"/>
      <c r="H158" s="80"/>
      <c r="I158" s="80"/>
      <c r="L158" s="80"/>
    </row>
    <row r="159" spans="1:13" s="92" customFormat="1" ht="18.75">
      <c r="A159" s="220"/>
      <c r="B159" s="133" t="s">
        <v>318</v>
      </c>
      <c r="C159" s="134"/>
      <c r="D159" s="109">
        <v>4160</v>
      </c>
      <c r="E159" s="109">
        <v>-500</v>
      </c>
      <c r="F159" s="115">
        <f t="shared" si="21"/>
        <v>3660</v>
      </c>
      <c r="G159" s="80"/>
      <c r="H159" s="80"/>
      <c r="I159" s="80"/>
      <c r="L159" s="80"/>
    </row>
    <row r="160" spans="1:13" s="92" customFormat="1" ht="18.75">
      <c r="A160" s="220"/>
      <c r="B160" s="133" t="s">
        <v>263</v>
      </c>
      <c r="C160" s="134"/>
      <c r="D160" s="109">
        <v>76.7</v>
      </c>
      <c r="E160" s="109">
        <v>-76.7</v>
      </c>
      <c r="F160" s="115">
        <f t="shared" ref="F160" si="22">SUM(D160:E160)</f>
        <v>0</v>
      </c>
      <c r="G160" s="80"/>
      <c r="H160" s="80"/>
      <c r="I160" s="80"/>
      <c r="L160" s="80"/>
    </row>
    <row r="161" spans="1:12" s="92" customFormat="1" ht="18.75">
      <c r="A161" s="220"/>
      <c r="B161" s="133" t="s">
        <v>288</v>
      </c>
      <c r="C161" s="134"/>
      <c r="D161" s="109">
        <v>0</v>
      </c>
      <c r="E161" s="109">
        <f>6.8+12</f>
        <v>18.8</v>
      </c>
      <c r="F161" s="115">
        <f t="shared" ref="F161" si="23">SUM(D161:E161)</f>
        <v>18.8</v>
      </c>
      <c r="G161" s="80"/>
      <c r="H161" s="80"/>
      <c r="I161" s="80"/>
      <c r="L161" s="80"/>
    </row>
    <row r="162" spans="1:12" s="92" customFormat="1" ht="18.75">
      <c r="A162" s="220"/>
      <c r="B162" s="133" t="s">
        <v>289</v>
      </c>
      <c r="C162" s="134"/>
      <c r="D162" s="109">
        <v>785.2</v>
      </c>
      <c r="E162" s="109">
        <f>-6.8-12</f>
        <v>-18.8</v>
      </c>
      <c r="F162" s="115">
        <f t="shared" ref="F162:F163" si="24">SUM(D162:E162)</f>
        <v>766.40000000000009</v>
      </c>
      <c r="G162" s="80"/>
      <c r="H162" s="80"/>
      <c r="I162" s="80"/>
      <c r="L162" s="80"/>
    </row>
    <row r="163" spans="1:12" s="92" customFormat="1" ht="18.75">
      <c r="A163" s="220"/>
      <c r="B163" s="133" t="s">
        <v>254</v>
      </c>
      <c r="C163" s="134"/>
      <c r="D163" s="109">
        <f>30500.3+1098.9</f>
        <v>31599.200000000001</v>
      </c>
      <c r="E163" s="109">
        <f>-989.8+60</f>
        <v>-929.8</v>
      </c>
      <c r="F163" s="115">
        <f t="shared" si="24"/>
        <v>30669.4</v>
      </c>
      <c r="G163" s="80"/>
      <c r="H163" s="80"/>
      <c r="I163" s="80"/>
      <c r="L163" s="80"/>
    </row>
    <row r="164" spans="1:12" s="92" customFormat="1" ht="18.75">
      <c r="A164" s="221"/>
      <c r="B164" s="133" t="s">
        <v>338</v>
      </c>
      <c r="C164" s="134"/>
      <c r="D164" s="109">
        <v>250.1</v>
      </c>
      <c r="E164" s="109">
        <v>-101.9</v>
      </c>
      <c r="F164" s="115">
        <f t="shared" ref="F164" si="25">SUM(D164:E164)</f>
        <v>148.19999999999999</v>
      </c>
      <c r="G164" s="80"/>
      <c r="H164" s="80"/>
      <c r="I164" s="80"/>
      <c r="L164" s="80"/>
    </row>
    <row r="165" spans="1:12" ht="18.75">
      <c r="A165" s="219" t="s">
        <v>275</v>
      </c>
      <c r="B165" s="133" t="s">
        <v>266</v>
      </c>
      <c r="C165" s="134"/>
      <c r="D165" s="109">
        <v>36822.800000000003</v>
      </c>
      <c r="E165" s="109">
        <f>-469.9-6789.6-68.8+1061.5</f>
        <v>-6266.8</v>
      </c>
      <c r="F165" s="110">
        <f t="shared" ref="F165:F170" si="26">SUM(D165:E165)</f>
        <v>30556.000000000004</v>
      </c>
    </row>
    <row r="166" spans="1:12" ht="18.75">
      <c r="A166" s="220"/>
      <c r="B166" s="133" t="s">
        <v>291</v>
      </c>
      <c r="C166" s="134"/>
      <c r="D166" s="109">
        <v>20</v>
      </c>
      <c r="E166" s="109">
        <v>-2.6</v>
      </c>
      <c r="F166" s="110">
        <f t="shared" si="26"/>
        <v>17.399999999999999</v>
      </c>
    </row>
    <row r="167" spans="1:12" ht="18.75">
      <c r="A167" s="220"/>
      <c r="B167" s="133" t="s">
        <v>293</v>
      </c>
      <c r="C167" s="134"/>
      <c r="D167" s="109">
        <v>97.8</v>
      </c>
      <c r="E167" s="109">
        <v>-88.8</v>
      </c>
      <c r="F167" s="110">
        <f t="shared" si="26"/>
        <v>9</v>
      </c>
    </row>
    <row r="168" spans="1:12" ht="18.75">
      <c r="A168" s="220"/>
      <c r="B168" s="133" t="s">
        <v>276</v>
      </c>
      <c r="C168" s="134"/>
      <c r="D168" s="109">
        <v>1646.4</v>
      </c>
      <c r="E168" s="109">
        <f>273.2+42.5</f>
        <v>315.7</v>
      </c>
      <c r="F168" s="110">
        <f t="shared" si="26"/>
        <v>1962.1000000000001</v>
      </c>
    </row>
    <row r="169" spans="1:12" ht="18.75">
      <c r="A169" s="220"/>
      <c r="B169" s="133" t="s">
        <v>294</v>
      </c>
      <c r="C169" s="134"/>
      <c r="D169" s="109">
        <v>0</v>
      </c>
      <c r="E169" s="109">
        <v>88.8</v>
      </c>
      <c r="F169" s="110">
        <f t="shared" si="26"/>
        <v>88.8</v>
      </c>
    </row>
    <row r="170" spans="1:12" ht="18.75">
      <c r="A170" s="220"/>
      <c r="B170" s="133" t="s">
        <v>277</v>
      </c>
      <c r="C170" s="134"/>
      <c r="D170" s="109">
        <v>8875.6</v>
      </c>
      <c r="E170" s="109">
        <f>196.7+68.8</f>
        <v>265.5</v>
      </c>
      <c r="F170" s="110">
        <f t="shared" si="26"/>
        <v>9141.1</v>
      </c>
    </row>
    <row r="171" spans="1:12" ht="18.75">
      <c r="A171" s="220"/>
      <c r="B171" s="133" t="s">
        <v>278</v>
      </c>
      <c r="C171" s="134"/>
      <c r="D171" s="109">
        <v>35</v>
      </c>
      <c r="E171" s="109">
        <v>-13</v>
      </c>
      <c r="F171" s="110">
        <f t="shared" ref="F171:F175" si="27">SUM(D171:E171)</f>
        <v>22</v>
      </c>
    </row>
    <row r="172" spans="1:12" ht="18.75">
      <c r="A172" s="220"/>
      <c r="B172" s="133" t="s">
        <v>290</v>
      </c>
      <c r="C172" s="134"/>
      <c r="D172" s="109">
        <v>0</v>
      </c>
      <c r="E172" s="109">
        <f>6789.6-1061.5</f>
        <v>5728.1</v>
      </c>
      <c r="F172" s="110">
        <f t="shared" si="27"/>
        <v>5728.1</v>
      </c>
    </row>
    <row r="173" spans="1:12" ht="18.75">
      <c r="A173" s="220"/>
      <c r="B173" s="133" t="s">
        <v>292</v>
      </c>
      <c r="C173" s="134"/>
      <c r="D173" s="109">
        <v>13</v>
      </c>
      <c r="E173" s="109">
        <v>2.6</v>
      </c>
      <c r="F173" s="110">
        <f t="shared" si="27"/>
        <v>15.6</v>
      </c>
    </row>
    <row r="174" spans="1:12" ht="18.75">
      <c r="A174" s="220"/>
      <c r="B174" s="133" t="s">
        <v>279</v>
      </c>
      <c r="C174" s="134"/>
      <c r="D174" s="109">
        <v>460</v>
      </c>
      <c r="E174" s="109">
        <f>-58.4-42.5</f>
        <v>-100.9</v>
      </c>
      <c r="F174" s="110">
        <f t="shared" si="27"/>
        <v>359.1</v>
      </c>
    </row>
    <row r="175" spans="1:12" ht="18.75">
      <c r="A175" s="221"/>
      <c r="B175" s="133" t="s">
        <v>280</v>
      </c>
      <c r="C175" s="134"/>
      <c r="D175" s="109">
        <v>900.4</v>
      </c>
      <c r="E175" s="109">
        <v>71.400000000000006</v>
      </c>
      <c r="F175" s="110">
        <f t="shared" si="27"/>
        <v>971.8</v>
      </c>
    </row>
    <row r="176" spans="1:12" ht="18.75">
      <c r="A176" s="219" t="s">
        <v>14</v>
      </c>
      <c r="B176" s="133" t="s">
        <v>268</v>
      </c>
      <c r="C176" s="134"/>
      <c r="D176" s="109">
        <v>22881.9</v>
      </c>
      <c r="E176" s="109">
        <f>128.9-0.1-1.5-0.8+192.8+4</f>
        <v>323.3</v>
      </c>
      <c r="F176" s="110">
        <f t="shared" ref="F176" si="28">SUM(D176:E176)</f>
        <v>23205.200000000001</v>
      </c>
    </row>
    <row r="177" spans="1:6" ht="18.75">
      <c r="A177" s="220"/>
      <c r="B177" s="133" t="s">
        <v>250</v>
      </c>
      <c r="C177" s="134"/>
      <c r="D177" s="109">
        <v>45423.5</v>
      </c>
      <c r="E177" s="109">
        <f>-156.3+29.2+0.1+107.7-21.7-26.1-81.7-6.2</f>
        <v>-155</v>
      </c>
      <c r="F177" s="110">
        <f t="shared" ref="F177:F182" si="29">SUM(D177:E177)</f>
        <v>45268.5</v>
      </c>
    </row>
    <row r="178" spans="1:6" ht="18.75">
      <c r="A178" s="220"/>
      <c r="B178" s="133" t="s">
        <v>269</v>
      </c>
      <c r="C178" s="134"/>
      <c r="D178" s="109">
        <v>2944.9</v>
      </c>
      <c r="E178" s="109">
        <f>-0.7-0.1-21-0.2-46.5+2.2</f>
        <v>-66.3</v>
      </c>
      <c r="F178" s="110">
        <f t="shared" si="29"/>
        <v>2878.6</v>
      </c>
    </row>
    <row r="179" spans="1:6" ht="18.75">
      <c r="A179" s="220"/>
      <c r="B179" s="133" t="s">
        <v>270</v>
      </c>
      <c r="C179" s="134"/>
      <c r="D179" s="109">
        <v>14847.5</v>
      </c>
      <c r="E179" s="109">
        <f>28.1-29.2+0.6-76.6+12.7-50.3</f>
        <v>-114.69999999999999</v>
      </c>
      <c r="F179" s="110">
        <f t="shared" ref="F179:F180" si="30">SUM(D179:E179)</f>
        <v>14732.8</v>
      </c>
    </row>
    <row r="180" spans="1:6" ht="18.75">
      <c r="A180" s="220"/>
      <c r="B180" s="133" t="s">
        <v>319</v>
      </c>
      <c r="C180" s="134"/>
      <c r="D180" s="109">
        <v>916.4</v>
      </c>
      <c r="E180" s="109">
        <f>-10.2-4.3-2.4</f>
        <v>-16.899999999999999</v>
      </c>
      <c r="F180" s="110">
        <f t="shared" si="30"/>
        <v>899.5</v>
      </c>
    </row>
    <row r="181" spans="1:6" ht="18.75">
      <c r="A181" s="220"/>
      <c r="B181" s="133" t="s">
        <v>430</v>
      </c>
      <c r="C181" s="134"/>
      <c r="D181" s="109">
        <v>93.8</v>
      </c>
      <c r="E181" s="109">
        <f>-9.9-3</f>
        <v>-12.9</v>
      </c>
      <c r="F181" s="110">
        <f t="shared" ref="F181" si="31">SUM(D181:E181)</f>
        <v>80.899999999999991</v>
      </c>
    </row>
    <row r="182" spans="1:6" ht="18.75">
      <c r="A182" s="220"/>
      <c r="B182" s="133" t="s">
        <v>317</v>
      </c>
      <c r="C182" s="134"/>
      <c r="D182" s="109">
        <v>15.4</v>
      </c>
      <c r="E182" s="109">
        <v>-0.2</v>
      </c>
      <c r="F182" s="110">
        <f t="shared" si="29"/>
        <v>15.200000000000001</v>
      </c>
    </row>
    <row r="183" spans="1:6" ht="18.75">
      <c r="A183" s="220"/>
      <c r="B183" s="133" t="s">
        <v>320</v>
      </c>
      <c r="C183" s="134"/>
      <c r="D183" s="109">
        <v>2575</v>
      </c>
      <c r="E183" s="109">
        <f>-7-0.6-11.2</f>
        <v>-18.799999999999997</v>
      </c>
      <c r="F183" s="110">
        <f t="shared" ref="F183:F184" si="32">SUM(D183:E183)</f>
        <v>2556.1999999999998</v>
      </c>
    </row>
    <row r="184" spans="1:6" ht="18.75">
      <c r="A184" s="220"/>
      <c r="B184" s="133" t="s">
        <v>321</v>
      </c>
      <c r="C184" s="134"/>
      <c r="D184" s="109">
        <v>319</v>
      </c>
      <c r="E184" s="109">
        <f>8.6+31.6+19.3+2.3</f>
        <v>61.8</v>
      </c>
      <c r="F184" s="110">
        <f t="shared" si="32"/>
        <v>380.8</v>
      </c>
    </row>
    <row r="185" spans="1:6" ht="18.75">
      <c r="A185" s="221"/>
      <c r="B185" s="133" t="s">
        <v>316</v>
      </c>
      <c r="C185" s="134"/>
      <c r="D185" s="109">
        <v>0.3</v>
      </c>
      <c r="E185" s="109">
        <v>-0.3</v>
      </c>
      <c r="F185" s="110">
        <f t="shared" ref="F185:F194" si="33">SUM(D185:E185)</f>
        <v>0</v>
      </c>
    </row>
    <row r="186" spans="1:6" ht="18.75">
      <c r="A186" s="214" t="s">
        <v>25</v>
      </c>
      <c r="B186" s="116" t="s">
        <v>267</v>
      </c>
      <c r="C186" s="117"/>
      <c r="D186" s="118">
        <v>30877.5</v>
      </c>
      <c r="E186" s="118">
        <f>29.9-0.2</f>
        <v>29.7</v>
      </c>
      <c r="F186" s="110">
        <f t="shared" ref="F186" si="34">SUM(D186:E186)</f>
        <v>30907.200000000001</v>
      </c>
    </row>
    <row r="187" spans="1:6" ht="18.75">
      <c r="A187" s="214"/>
      <c r="B187" s="116" t="s">
        <v>101</v>
      </c>
      <c r="C187" s="117"/>
      <c r="D187" s="118">
        <v>6138.6</v>
      </c>
      <c r="E187" s="118">
        <f>-25+0.2</f>
        <v>-24.8</v>
      </c>
      <c r="F187" s="110">
        <f t="shared" ref="F187:F190" si="35">SUM(D187:E187)</f>
        <v>6113.8</v>
      </c>
    </row>
    <row r="188" spans="1:6" ht="18.75">
      <c r="A188" s="214"/>
      <c r="B188" s="116" t="s">
        <v>100</v>
      </c>
      <c r="C188" s="117"/>
      <c r="D188" s="118">
        <v>267</v>
      </c>
      <c r="E188" s="118">
        <v>-4.9000000000000004</v>
      </c>
      <c r="F188" s="110">
        <f t="shared" si="35"/>
        <v>262.10000000000002</v>
      </c>
    </row>
    <row r="189" spans="1:6" ht="18.75">
      <c r="A189" s="214"/>
      <c r="B189" s="116" t="s">
        <v>325</v>
      </c>
      <c r="C189" s="117"/>
      <c r="D189" s="118">
        <v>2</v>
      </c>
      <c r="E189" s="118">
        <v>-0.7</v>
      </c>
      <c r="F189" s="110">
        <f t="shared" si="35"/>
        <v>1.3</v>
      </c>
    </row>
    <row r="190" spans="1:6" ht="18.75">
      <c r="A190" s="214"/>
      <c r="B190" s="116" t="s">
        <v>127</v>
      </c>
      <c r="C190" s="117"/>
      <c r="D190" s="118">
        <f>F63</f>
        <v>3534.3542900000002</v>
      </c>
      <c r="E190" s="118">
        <v>0.7</v>
      </c>
      <c r="F190" s="110">
        <f t="shared" si="35"/>
        <v>3535.05429</v>
      </c>
    </row>
    <row r="191" spans="1:6" ht="18.75">
      <c r="A191" s="214"/>
      <c r="B191" s="133" t="s">
        <v>299</v>
      </c>
      <c r="C191" s="134"/>
      <c r="D191" s="111">
        <v>360</v>
      </c>
      <c r="E191" s="109">
        <v>110</v>
      </c>
      <c r="F191" s="110">
        <f t="shared" ref="F191:F193" si="36">SUM(D191:E191)</f>
        <v>470</v>
      </c>
    </row>
    <row r="192" spans="1:6" ht="18.75">
      <c r="A192" s="214"/>
      <c r="B192" s="133" t="s">
        <v>264</v>
      </c>
      <c r="C192" s="134"/>
      <c r="D192" s="111">
        <v>339.5</v>
      </c>
      <c r="E192" s="109">
        <v>-110</v>
      </c>
      <c r="F192" s="110">
        <f t="shared" ref="F192" si="37">SUM(D192:E192)</f>
        <v>229.5</v>
      </c>
    </row>
    <row r="193" spans="1:6" ht="18.75">
      <c r="A193" s="214"/>
      <c r="B193" s="133" t="s">
        <v>272</v>
      </c>
      <c r="C193" s="134"/>
      <c r="D193" s="111">
        <v>640.79999999999995</v>
      </c>
      <c r="E193" s="109">
        <f>-31+50+550+19</f>
        <v>588</v>
      </c>
      <c r="F193" s="110">
        <f t="shared" si="36"/>
        <v>1228.8</v>
      </c>
    </row>
    <row r="194" spans="1:6" ht="18.75">
      <c r="A194" s="214"/>
      <c r="B194" s="133" t="s">
        <v>273</v>
      </c>
      <c r="C194" s="134"/>
      <c r="D194" s="111">
        <v>620.79999999999995</v>
      </c>
      <c r="E194" s="109">
        <f>31+50-19</f>
        <v>62</v>
      </c>
      <c r="F194" s="110">
        <f t="shared" si="33"/>
        <v>682.8</v>
      </c>
    </row>
    <row r="195" spans="1:6" ht="18.75">
      <c r="A195" s="130" t="s">
        <v>36</v>
      </c>
      <c r="B195" s="229" t="s">
        <v>248</v>
      </c>
      <c r="C195" s="230"/>
      <c r="D195" s="111">
        <v>9918.2999999999993</v>
      </c>
      <c r="E195" s="109">
        <f>-95.6-50-100-58.1-550</f>
        <v>-853.7</v>
      </c>
      <c r="F195" s="110">
        <f t="shared" ref="F195" si="38">SUM(D195:E195)</f>
        <v>9064.5999999999985</v>
      </c>
    </row>
    <row r="196" spans="1:6" ht="18.75">
      <c r="A196" s="219" t="s">
        <v>26</v>
      </c>
      <c r="B196" s="229" t="s">
        <v>303</v>
      </c>
      <c r="C196" s="230"/>
      <c r="D196" s="111">
        <v>63727</v>
      </c>
      <c r="E196" s="109">
        <f>-5150.1-840</f>
        <v>-5990.1</v>
      </c>
      <c r="F196" s="115">
        <f t="shared" ref="F196" si="39">SUM(D196:E196)</f>
        <v>57736.9</v>
      </c>
    </row>
    <row r="197" spans="1:6" ht="18.75">
      <c r="A197" s="220"/>
      <c r="B197" s="229" t="s">
        <v>252</v>
      </c>
      <c r="C197" s="230"/>
      <c r="D197" s="111">
        <v>94007.2</v>
      </c>
      <c r="E197" s="109">
        <f>-1500-750-358.7+3000</f>
        <v>391.30000000000018</v>
      </c>
      <c r="F197" s="115">
        <f t="shared" ref="F197" si="40">SUM(D197:E197)</f>
        <v>94398.5</v>
      </c>
    </row>
    <row r="198" spans="1:6" ht="18.75">
      <c r="A198" s="220"/>
      <c r="B198" s="229" t="s">
        <v>282</v>
      </c>
      <c r="C198" s="230"/>
      <c r="D198" s="111">
        <v>9657</v>
      </c>
      <c r="E198" s="109">
        <v>1300</v>
      </c>
      <c r="F198" s="115">
        <f t="shared" ref="F198:F199" si="41">SUM(D198:E198)</f>
        <v>10957</v>
      </c>
    </row>
    <row r="199" spans="1:6" ht="18.75">
      <c r="A199" s="220"/>
      <c r="B199" s="229" t="s">
        <v>284</v>
      </c>
      <c r="C199" s="230"/>
      <c r="D199" s="111">
        <v>0</v>
      </c>
      <c r="E199" s="109">
        <v>750</v>
      </c>
      <c r="F199" s="115">
        <f t="shared" si="41"/>
        <v>750</v>
      </c>
    </row>
    <row r="200" spans="1:6" ht="18.75">
      <c r="A200" s="220"/>
      <c r="B200" s="229" t="s">
        <v>301</v>
      </c>
      <c r="C200" s="230"/>
      <c r="D200" s="111">
        <v>691.3</v>
      </c>
      <c r="E200" s="109">
        <v>358.7</v>
      </c>
      <c r="F200" s="115">
        <f t="shared" ref="F200:F204" si="42">SUM(D200:E200)</f>
        <v>1050</v>
      </c>
    </row>
    <row r="201" spans="1:6" ht="18.75">
      <c r="A201" s="220"/>
      <c r="B201" s="133" t="s">
        <v>458</v>
      </c>
      <c r="C201" s="134"/>
      <c r="D201" s="111">
        <v>790.4</v>
      </c>
      <c r="E201" s="109">
        <v>-200</v>
      </c>
      <c r="F201" s="115">
        <f t="shared" si="42"/>
        <v>590.4</v>
      </c>
    </row>
    <row r="202" spans="1:6" ht="18.75">
      <c r="A202" s="220"/>
      <c r="B202" s="133" t="s">
        <v>442</v>
      </c>
      <c r="C202" s="134"/>
      <c r="D202" s="109">
        <v>5585</v>
      </c>
      <c r="E202" s="109">
        <v>750</v>
      </c>
      <c r="F202" s="115">
        <f t="shared" si="42"/>
        <v>6335</v>
      </c>
    </row>
    <row r="203" spans="1:6" ht="18.75">
      <c r="A203" s="220"/>
      <c r="B203" s="133" t="s">
        <v>459</v>
      </c>
      <c r="C203" s="134"/>
      <c r="D203" s="109">
        <v>17380.2</v>
      </c>
      <c r="E203" s="109">
        <v>200</v>
      </c>
      <c r="F203" s="115">
        <f t="shared" si="42"/>
        <v>17580.2</v>
      </c>
    </row>
    <row r="204" spans="1:6" ht="18.75">
      <c r="A204" s="220"/>
      <c r="B204" s="133" t="s">
        <v>304</v>
      </c>
      <c r="C204" s="134"/>
      <c r="D204" s="109">
        <v>175756.2</v>
      </c>
      <c r="E204" s="109">
        <f>5150.1+840</f>
        <v>5990.1</v>
      </c>
      <c r="F204" s="115">
        <f t="shared" si="42"/>
        <v>181746.30000000002</v>
      </c>
    </row>
    <row r="205" spans="1:6" ht="18.75">
      <c r="A205" s="220"/>
      <c r="B205" s="133" t="s">
        <v>456</v>
      </c>
      <c r="C205" s="134"/>
      <c r="D205" s="109">
        <v>4500</v>
      </c>
      <c r="E205" s="109">
        <v>80</v>
      </c>
      <c r="F205" s="115">
        <f t="shared" ref="F205:F211" si="43">SUM(D205:E205)</f>
        <v>4580</v>
      </c>
    </row>
    <row r="206" spans="1:6" ht="18.75">
      <c r="A206" s="220"/>
      <c r="B206" s="133" t="s">
        <v>283</v>
      </c>
      <c r="C206" s="134"/>
      <c r="D206" s="111">
        <v>400</v>
      </c>
      <c r="E206" s="109">
        <v>200</v>
      </c>
      <c r="F206" s="115">
        <f t="shared" ref="F206:F207" si="44">SUM(D206:E206)</f>
        <v>600</v>
      </c>
    </row>
    <row r="207" spans="1:6" ht="18.75">
      <c r="A207" s="220"/>
      <c r="B207" s="133" t="s">
        <v>443</v>
      </c>
      <c r="C207" s="134"/>
      <c r="D207" s="111">
        <v>15950</v>
      </c>
      <c r="E207" s="109">
        <f>300-3000</f>
        <v>-2700</v>
      </c>
      <c r="F207" s="115">
        <f t="shared" si="44"/>
        <v>13250</v>
      </c>
    </row>
    <row r="208" spans="1:6" ht="18.75">
      <c r="A208" s="220"/>
      <c r="B208" s="133" t="s">
        <v>455</v>
      </c>
      <c r="C208" s="134"/>
      <c r="D208" s="111">
        <v>2412.9</v>
      </c>
      <c r="E208" s="109">
        <v>-80</v>
      </c>
      <c r="F208" s="115">
        <f t="shared" si="43"/>
        <v>2332.9</v>
      </c>
    </row>
    <row r="209" spans="1:13" ht="18.75" customHeight="1">
      <c r="A209" s="220"/>
      <c r="B209" s="242" t="s">
        <v>460</v>
      </c>
      <c r="C209" s="243"/>
      <c r="D209" s="243"/>
      <c r="E209" s="243"/>
      <c r="F209" s="244"/>
    </row>
    <row r="210" spans="1:13" ht="18.75">
      <c r="A210" s="220"/>
      <c r="B210" s="133" t="s">
        <v>459</v>
      </c>
      <c r="C210" s="134"/>
      <c r="D210" s="111">
        <v>28105.1</v>
      </c>
      <c r="E210" s="109">
        <v>13400</v>
      </c>
      <c r="F210" s="115">
        <f t="shared" si="43"/>
        <v>41505.1</v>
      </c>
    </row>
    <row r="211" spans="1:13" ht="18.75">
      <c r="A211" s="221"/>
      <c r="B211" s="133" t="s">
        <v>304</v>
      </c>
      <c r="C211" s="134"/>
      <c r="D211" s="111">
        <v>29595.3</v>
      </c>
      <c r="E211" s="109">
        <v>-13400</v>
      </c>
      <c r="F211" s="115">
        <f t="shared" si="43"/>
        <v>16195.3</v>
      </c>
    </row>
    <row r="212" spans="1:13" ht="27" customHeight="1">
      <c r="A212" s="84" t="s">
        <v>6</v>
      </c>
      <c r="B212" s="248"/>
      <c r="C212" s="248"/>
      <c r="D212" s="85" t="s">
        <v>20</v>
      </c>
      <c r="E212" s="86">
        <f>SUM(E104:E208)</f>
        <v>656.80000000001019</v>
      </c>
      <c r="F212" s="85"/>
    </row>
    <row r="213" spans="1:13" ht="24" customHeight="1">
      <c r="A213" s="87"/>
      <c r="B213" s="88"/>
      <c r="C213" s="88"/>
      <c r="D213" s="89"/>
      <c r="E213" s="90"/>
      <c r="F213" s="89"/>
      <c r="K213" s="94"/>
      <c r="L213" s="94"/>
      <c r="M213" s="94"/>
    </row>
    <row r="214" spans="1:13" ht="100.5" customHeight="1">
      <c r="A214" s="237" t="s">
        <v>327</v>
      </c>
      <c r="B214" s="237"/>
      <c r="C214" s="237"/>
      <c r="D214" s="237"/>
      <c r="E214" s="237"/>
      <c r="F214" s="237"/>
      <c r="K214" s="94"/>
      <c r="L214" s="94"/>
      <c r="M214" s="94"/>
    </row>
    <row r="215" spans="1:13" ht="30.75" customHeight="1">
      <c r="A215" s="237" t="s">
        <v>232</v>
      </c>
      <c r="B215" s="237"/>
      <c r="C215" s="237"/>
      <c r="D215" s="237"/>
      <c r="E215" s="237"/>
      <c r="F215" s="237"/>
    </row>
    <row r="216" spans="1:13" ht="15.75" customHeight="1">
      <c r="A216" s="135"/>
      <c r="B216" s="135"/>
      <c r="C216" s="135"/>
      <c r="D216" s="135"/>
      <c r="E216" s="135"/>
      <c r="F216" s="95" t="s">
        <v>7</v>
      </c>
      <c r="G216" s="96"/>
    </row>
    <row r="217" spans="1:13" ht="17.25" customHeight="1">
      <c r="A217" s="231" t="s">
        <v>10</v>
      </c>
      <c r="B217" s="232"/>
      <c r="C217" s="233" t="s">
        <v>11</v>
      </c>
      <c r="D217" s="233"/>
      <c r="E217" s="233"/>
      <c r="F217" s="233"/>
      <c r="G217" s="96"/>
      <c r="M217" s="96"/>
    </row>
    <row r="218" spans="1:13" ht="36" customHeight="1">
      <c r="A218" s="136" t="s">
        <v>12</v>
      </c>
      <c r="B218" s="119">
        <f>C5</f>
        <v>15000</v>
      </c>
      <c r="C218" s="262" t="s">
        <v>274</v>
      </c>
      <c r="D218" s="263"/>
      <c r="E218" s="264"/>
      <c r="F218" s="234">
        <f>E64</f>
        <v>115549.3605</v>
      </c>
      <c r="G218" s="97"/>
    </row>
    <row r="219" spans="1:13" ht="22.5" customHeight="1">
      <c r="A219" s="120" t="s">
        <v>13</v>
      </c>
      <c r="B219" s="119">
        <f>C6</f>
        <v>109.5</v>
      </c>
      <c r="C219" s="265"/>
      <c r="D219" s="266"/>
      <c r="E219" s="267"/>
      <c r="F219" s="235"/>
    </row>
    <row r="220" spans="1:13" ht="24" customHeight="1">
      <c r="A220" s="121" t="s">
        <v>28</v>
      </c>
      <c r="B220" s="119">
        <f>C7</f>
        <v>100439.9</v>
      </c>
      <c r="C220" s="265"/>
      <c r="D220" s="266"/>
      <c r="E220" s="267"/>
      <c r="F220" s="235"/>
    </row>
    <row r="221" spans="1:13" ht="33" hidden="1" customHeight="1">
      <c r="A221" s="122" t="s">
        <v>153</v>
      </c>
      <c r="B221" s="143">
        <v>0</v>
      </c>
      <c r="C221" s="268"/>
      <c r="D221" s="253"/>
      <c r="E221" s="269"/>
      <c r="F221" s="236"/>
    </row>
    <row r="222" spans="1:13" ht="20.25" customHeight="1">
      <c r="A222" s="257" t="s">
        <v>84</v>
      </c>
      <c r="B222" s="258">
        <f>20+1500</f>
        <v>1520</v>
      </c>
      <c r="C222" s="259" t="s">
        <v>300</v>
      </c>
      <c r="D222" s="260"/>
      <c r="E222" s="261"/>
      <c r="F222" s="119">
        <v>50</v>
      </c>
    </row>
    <row r="223" spans="1:13" ht="27.75" customHeight="1">
      <c r="A223" s="257"/>
      <c r="B223" s="258"/>
      <c r="C223" s="239" t="s">
        <v>439</v>
      </c>
      <c r="D223" s="240"/>
      <c r="E223" s="241"/>
      <c r="F223" s="126">
        <v>450</v>
      </c>
      <c r="G223" s="99"/>
    </row>
    <row r="224" spans="1:13" ht="27.75" customHeight="1">
      <c r="A224" s="257"/>
      <c r="B224" s="258"/>
      <c r="C224" s="239" t="s">
        <v>444</v>
      </c>
      <c r="D224" s="240"/>
      <c r="E224" s="241"/>
      <c r="F224" s="126">
        <v>1050</v>
      </c>
      <c r="G224" s="99"/>
    </row>
    <row r="225" spans="1:7" ht="23.45" customHeight="1">
      <c r="A225" s="121" t="s">
        <v>258</v>
      </c>
      <c r="B225" s="123">
        <f>E44</f>
        <v>-763.20000000000073</v>
      </c>
      <c r="C225" s="238" t="s">
        <v>340</v>
      </c>
      <c r="D225" s="238"/>
      <c r="E225" s="238"/>
      <c r="F225" s="119">
        <f>-793.2</f>
        <v>-793.2</v>
      </c>
    </row>
    <row r="226" spans="1:7" ht="23.45" customHeight="1">
      <c r="A226" s="121" t="s">
        <v>328</v>
      </c>
      <c r="B226" s="123">
        <v>-100</v>
      </c>
      <c r="C226" s="226" t="s">
        <v>341</v>
      </c>
      <c r="D226" s="227"/>
      <c r="E226" s="228"/>
      <c r="F226" s="124">
        <v>-100</v>
      </c>
    </row>
    <row r="227" spans="1:7" ht="21.75" customHeight="1">
      <c r="A227" s="98" t="s">
        <v>9</v>
      </c>
      <c r="B227" s="102">
        <f>SUM(B218:B226)</f>
        <v>116206.2</v>
      </c>
      <c r="C227" s="256" t="s">
        <v>9</v>
      </c>
      <c r="D227" s="256"/>
      <c r="E227" s="256"/>
      <c r="F227" s="103">
        <f>SUM(F218:F226)</f>
        <v>116206.1605</v>
      </c>
      <c r="G227" s="99">
        <f>F227-B227</f>
        <v>-3.9499999998952262E-2</v>
      </c>
    </row>
    <row r="228" spans="1:7" ht="24.75" customHeight="1">
      <c r="A228" s="135"/>
      <c r="B228" s="100"/>
      <c r="C228" s="135"/>
      <c r="D228" s="135"/>
      <c r="E228" s="135"/>
      <c r="F228" s="101"/>
    </row>
    <row r="229" spans="1:7" ht="18.75" customHeight="1">
      <c r="A229" s="215" t="s">
        <v>66</v>
      </c>
      <c r="B229" s="215"/>
      <c r="C229" s="215"/>
      <c r="D229" s="215"/>
      <c r="E229" s="255" t="s">
        <v>265</v>
      </c>
      <c r="F229" s="255"/>
    </row>
    <row r="230" spans="1:7" ht="14.25" customHeight="1">
      <c r="A230" s="87"/>
      <c r="B230" s="88"/>
      <c r="C230" s="88"/>
      <c r="D230" s="89"/>
      <c r="E230" s="90"/>
      <c r="F230" s="89"/>
    </row>
    <row r="231" spans="1:7">
      <c r="B231" s="99"/>
      <c r="E231" s="80" t="s">
        <v>256</v>
      </c>
    </row>
  </sheetData>
  <mergeCells count="89">
    <mergeCell ref="A229:D229"/>
    <mergeCell ref="E229:F229"/>
    <mergeCell ref="C227:E227"/>
    <mergeCell ref="A82:F82"/>
    <mergeCell ref="B196:C196"/>
    <mergeCell ref="B200:C200"/>
    <mergeCell ref="A222:A224"/>
    <mergeCell ref="B222:B224"/>
    <mergeCell ref="C222:E222"/>
    <mergeCell ref="B212:C212"/>
    <mergeCell ref="B199:C199"/>
    <mergeCell ref="C218:E221"/>
    <mergeCell ref="A214:F214"/>
    <mergeCell ref="A176:A185"/>
    <mergeCell ref="A131:A138"/>
    <mergeCell ref="A96:F96"/>
    <mergeCell ref="A1:F1"/>
    <mergeCell ref="A2:F2"/>
    <mergeCell ref="A51:F51"/>
    <mergeCell ref="A49:F49"/>
    <mergeCell ref="A50:F50"/>
    <mergeCell ref="A3:F3"/>
    <mergeCell ref="A4:F4"/>
    <mergeCell ref="A9:F9"/>
    <mergeCell ref="A46:F46"/>
    <mergeCell ref="A47:F47"/>
    <mergeCell ref="A5:B5"/>
    <mergeCell ref="A6:B6"/>
    <mergeCell ref="A7:B7"/>
    <mergeCell ref="C223:E223"/>
    <mergeCell ref="B209:F209"/>
    <mergeCell ref="A196:A211"/>
    <mergeCell ref="A53:F53"/>
    <mergeCell ref="A56:F56"/>
    <mergeCell ref="A66:F66"/>
    <mergeCell ref="A70:F70"/>
    <mergeCell ref="A67:F67"/>
    <mergeCell ref="B64:C64"/>
    <mergeCell ref="A72:F72"/>
    <mergeCell ref="A94:F94"/>
    <mergeCell ref="A91:F91"/>
    <mergeCell ref="A95:F95"/>
    <mergeCell ref="A73:F73"/>
    <mergeCell ref="A83:F83"/>
    <mergeCell ref="A93:F93"/>
    <mergeCell ref="B103:C103"/>
    <mergeCell ref="A98:F98"/>
    <mergeCell ref="A78:F78"/>
    <mergeCell ref="C226:E226"/>
    <mergeCell ref="A139:A164"/>
    <mergeCell ref="A165:A175"/>
    <mergeCell ref="B197:C197"/>
    <mergeCell ref="A186:A194"/>
    <mergeCell ref="A217:B217"/>
    <mergeCell ref="C217:F217"/>
    <mergeCell ref="F218:F221"/>
    <mergeCell ref="B198:C198"/>
    <mergeCell ref="A215:F215"/>
    <mergeCell ref="B195:C195"/>
    <mergeCell ref="C225:E225"/>
    <mergeCell ref="C224:E224"/>
    <mergeCell ref="A89:F89"/>
    <mergeCell ref="A55:F55"/>
    <mergeCell ref="A52:F52"/>
    <mergeCell ref="A101:F101"/>
    <mergeCell ref="A100:F100"/>
    <mergeCell ref="A81:F81"/>
    <mergeCell ref="A54:F54"/>
    <mergeCell ref="B58:C58"/>
    <mergeCell ref="A61:A63"/>
    <mergeCell ref="A68:F68"/>
    <mergeCell ref="A71:F71"/>
    <mergeCell ref="A69:F69"/>
    <mergeCell ref="A128:A130"/>
    <mergeCell ref="A76:F76"/>
    <mergeCell ref="A74:F74"/>
    <mergeCell ref="A84:F84"/>
    <mergeCell ref="A79:F79"/>
    <mergeCell ref="A85:F85"/>
    <mergeCell ref="A90:F90"/>
    <mergeCell ref="A80:F80"/>
    <mergeCell ref="A75:F75"/>
    <mergeCell ref="A77:F77"/>
    <mergeCell ref="A86:F86"/>
    <mergeCell ref="A99:F99"/>
    <mergeCell ref="A87:F87"/>
    <mergeCell ref="A92:F92"/>
    <mergeCell ref="A104:A127"/>
    <mergeCell ref="A88:F88"/>
  </mergeCells>
  <pageMargins left="0.70866141732283472" right="0.70866141732283472" top="0.74803149606299213" bottom="0.74803149606299213" header="0.31496062992125984" footer="0.31496062992125984"/>
  <pageSetup paperSize="9" scale="71" fitToHeight="1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7"/>
  <sheetViews>
    <sheetView tabSelected="1" topLeftCell="A160" zoomScale="90" zoomScaleNormal="90" workbookViewId="0">
      <selection activeCell="J192" sqref="J192"/>
    </sheetView>
  </sheetViews>
  <sheetFormatPr defaultColWidth="9.140625" defaultRowHeight="18"/>
  <cols>
    <col min="1" max="1" width="42.28515625" style="80" customWidth="1"/>
    <col min="2" max="2" width="14.28515625" style="80" customWidth="1"/>
    <col min="3" max="3" width="15.28515625" style="80" customWidth="1"/>
    <col min="4" max="4" width="14" style="80" customWidth="1"/>
    <col min="5" max="5" width="16.42578125" style="80" customWidth="1"/>
    <col min="6" max="6" width="23" style="80" customWidth="1"/>
    <col min="7" max="7" width="20.5703125" style="80" customWidth="1"/>
    <col min="8" max="8" width="13.140625" style="80" customWidth="1"/>
    <col min="9" max="9" width="16.28515625" style="80" customWidth="1"/>
    <col min="10" max="10" width="36.28515625" style="80" customWidth="1"/>
    <col min="11" max="12" width="9.140625" style="80" customWidth="1"/>
    <col min="13" max="13" width="13.140625" style="80" customWidth="1"/>
    <col min="14" max="14" width="9.140625" style="80" customWidth="1"/>
    <col min="15" max="15" width="12.42578125" style="80" customWidth="1"/>
    <col min="16" max="16384" width="9.140625" style="80"/>
  </cols>
  <sheetData>
    <row r="1" spans="1:6" ht="19.5" customHeight="1">
      <c r="A1" s="249" t="s">
        <v>0</v>
      </c>
      <c r="B1" s="249"/>
      <c r="C1" s="249"/>
      <c r="D1" s="249"/>
      <c r="E1" s="249"/>
      <c r="F1" s="249"/>
    </row>
    <row r="2" spans="1:6" ht="66.75" customHeight="1">
      <c r="A2" s="250" t="s">
        <v>249</v>
      </c>
      <c r="B2" s="250"/>
      <c r="C2" s="250"/>
      <c r="D2" s="250"/>
      <c r="E2" s="250"/>
      <c r="F2" s="250"/>
    </row>
    <row r="3" spans="1:6" ht="18.75">
      <c r="A3" s="252" t="s">
        <v>403</v>
      </c>
      <c r="B3" s="252"/>
      <c r="C3" s="252"/>
      <c r="D3" s="252"/>
      <c r="E3" s="252"/>
      <c r="F3" s="252"/>
    </row>
    <row r="4" spans="1:6" ht="45.75" customHeight="1">
      <c r="A4" s="252" t="s">
        <v>467</v>
      </c>
      <c r="B4" s="252"/>
      <c r="C4" s="252"/>
      <c r="D4" s="252"/>
      <c r="E4" s="252"/>
      <c r="F4" s="252"/>
    </row>
    <row r="5" spans="1:6" ht="24" customHeight="1">
      <c r="A5" s="252" t="s">
        <v>406</v>
      </c>
      <c r="B5" s="252"/>
      <c r="C5" s="141">
        <v>15000</v>
      </c>
      <c r="D5" s="152" t="s">
        <v>404</v>
      </c>
      <c r="E5" s="149"/>
      <c r="F5" s="149"/>
    </row>
    <row r="6" spans="1:6" ht="18.75" customHeight="1">
      <c r="A6" s="252" t="s">
        <v>407</v>
      </c>
      <c r="B6" s="252"/>
      <c r="C6" s="104">
        <v>109.5</v>
      </c>
      <c r="D6" s="152" t="s">
        <v>404</v>
      </c>
      <c r="E6" s="149"/>
      <c r="F6" s="149"/>
    </row>
    <row r="7" spans="1:6" ht="18.75" customHeight="1">
      <c r="A7" s="251" t="s">
        <v>462</v>
      </c>
      <c r="B7" s="251"/>
      <c r="C7" s="142">
        <v>100439.9</v>
      </c>
      <c r="D7" s="152" t="s">
        <v>404</v>
      </c>
      <c r="E7" s="104"/>
      <c r="F7" s="149"/>
    </row>
    <row r="8" spans="1:6" ht="18.75" customHeight="1">
      <c r="A8" s="150"/>
      <c r="B8" s="150"/>
      <c r="C8" s="128"/>
      <c r="D8" s="152"/>
      <c r="E8" s="104"/>
      <c r="F8" s="149"/>
    </row>
    <row r="9" spans="1:6" ht="18.75">
      <c r="A9" s="253" t="s">
        <v>405</v>
      </c>
      <c r="B9" s="253"/>
      <c r="C9" s="253"/>
      <c r="D9" s="253"/>
      <c r="E9" s="253"/>
      <c r="F9" s="253"/>
    </row>
    <row r="10" spans="1:6" ht="75">
      <c r="A10" s="105" t="s">
        <v>15</v>
      </c>
      <c r="B10" s="105" t="s">
        <v>342</v>
      </c>
      <c r="C10" s="105" t="s">
        <v>343</v>
      </c>
      <c r="D10" s="105" t="s">
        <v>16</v>
      </c>
      <c r="E10" s="105" t="s">
        <v>17</v>
      </c>
      <c r="F10" s="105" t="s">
        <v>18</v>
      </c>
    </row>
    <row r="11" spans="1:6" ht="168.75">
      <c r="A11" s="105" t="s">
        <v>344</v>
      </c>
      <c r="B11" s="106">
        <v>265063</v>
      </c>
      <c r="C11" s="106">
        <v>226237.8</v>
      </c>
      <c r="D11" s="106">
        <v>288435</v>
      </c>
      <c r="E11" s="106">
        <v>23372</v>
      </c>
      <c r="F11" s="105" t="s">
        <v>345</v>
      </c>
    </row>
    <row r="12" spans="1:6" ht="281.25">
      <c r="A12" s="105" t="s">
        <v>346</v>
      </c>
      <c r="B12" s="106">
        <v>1895</v>
      </c>
      <c r="C12" s="106">
        <v>1267.3</v>
      </c>
      <c r="D12" s="106">
        <v>1423</v>
      </c>
      <c r="E12" s="106">
        <v>-472</v>
      </c>
      <c r="F12" s="105" t="s">
        <v>347</v>
      </c>
    </row>
    <row r="13" spans="1:6" ht="112.5">
      <c r="A13" s="105" t="s">
        <v>348</v>
      </c>
      <c r="B13" s="106">
        <v>935</v>
      </c>
      <c r="C13" s="106">
        <v>1296.8</v>
      </c>
      <c r="D13" s="106">
        <v>1217</v>
      </c>
      <c r="E13" s="106">
        <v>282</v>
      </c>
      <c r="F13" s="105" t="s">
        <v>349</v>
      </c>
    </row>
    <row r="14" spans="1:6" ht="206.25">
      <c r="A14" s="105" t="s">
        <v>350</v>
      </c>
      <c r="B14" s="106">
        <v>0</v>
      </c>
      <c r="C14" s="106">
        <v>472.5</v>
      </c>
      <c r="D14" s="106">
        <v>479</v>
      </c>
      <c r="E14" s="106">
        <v>479</v>
      </c>
      <c r="F14" s="105" t="s">
        <v>351</v>
      </c>
    </row>
    <row r="15" spans="1:6" ht="150">
      <c r="A15" s="105" t="s">
        <v>352</v>
      </c>
      <c r="B15" s="106">
        <v>4897</v>
      </c>
      <c r="C15" s="106">
        <v>4643.3999999999996</v>
      </c>
      <c r="D15" s="106">
        <v>5498</v>
      </c>
      <c r="E15" s="106">
        <v>601</v>
      </c>
      <c r="F15" s="105" t="s">
        <v>353</v>
      </c>
    </row>
    <row r="16" spans="1:6" ht="206.25">
      <c r="A16" s="105" t="s">
        <v>354</v>
      </c>
      <c r="B16" s="106">
        <v>77</v>
      </c>
      <c r="C16" s="106">
        <v>48.6</v>
      </c>
      <c r="D16" s="106">
        <v>58</v>
      </c>
      <c r="E16" s="106">
        <v>-19</v>
      </c>
      <c r="F16" s="105" t="s">
        <v>355</v>
      </c>
    </row>
    <row r="17" spans="1:6" ht="168.75">
      <c r="A17" s="105" t="s">
        <v>356</v>
      </c>
      <c r="B17" s="106">
        <v>7813</v>
      </c>
      <c r="C17" s="106">
        <v>7645</v>
      </c>
      <c r="D17" s="106">
        <v>9177</v>
      </c>
      <c r="E17" s="106">
        <v>1364</v>
      </c>
      <c r="F17" s="105" t="s">
        <v>357</v>
      </c>
    </row>
    <row r="18" spans="1:6" ht="112.5">
      <c r="A18" s="105" t="s">
        <v>358</v>
      </c>
      <c r="B18" s="106">
        <v>4535</v>
      </c>
      <c r="C18" s="106">
        <v>2408.5</v>
      </c>
      <c r="D18" s="106">
        <v>5132</v>
      </c>
      <c r="E18" s="106">
        <v>597</v>
      </c>
      <c r="F18" s="105" t="s">
        <v>359</v>
      </c>
    </row>
    <row r="19" spans="1:6" ht="93.75">
      <c r="A19" s="105" t="s">
        <v>360</v>
      </c>
      <c r="B19" s="106">
        <v>7938</v>
      </c>
      <c r="C19" s="106">
        <v>6810.7</v>
      </c>
      <c r="D19" s="106">
        <v>8168</v>
      </c>
      <c r="E19" s="106">
        <v>230</v>
      </c>
      <c r="F19" s="105" t="s">
        <v>361</v>
      </c>
    </row>
    <row r="20" spans="1:6" ht="206.25">
      <c r="A20" s="105" t="s">
        <v>362</v>
      </c>
      <c r="B20" s="106">
        <v>1</v>
      </c>
      <c r="C20" s="106">
        <v>2.7</v>
      </c>
      <c r="D20" s="106">
        <v>2</v>
      </c>
      <c r="E20" s="106">
        <v>1</v>
      </c>
      <c r="F20" s="105" t="s">
        <v>363</v>
      </c>
    </row>
    <row r="21" spans="1:6" ht="93.75">
      <c r="A21" s="105" t="s">
        <v>364</v>
      </c>
      <c r="B21" s="106">
        <v>2877</v>
      </c>
      <c r="C21" s="106">
        <v>4543.3</v>
      </c>
      <c r="D21" s="106">
        <v>5193</v>
      </c>
      <c r="E21" s="106">
        <v>2316</v>
      </c>
      <c r="F21" s="105" t="s">
        <v>365</v>
      </c>
    </row>
    <row r="22" spans="1:6" ht="75">
      <c r="A22" s="105" t="s">
        <v>47</v>
      </c>
      <c r="B22" s="106">
        <v>122</v>
      </c>
      <c r="C22" s="106">
        <v>192.6</v>
      </c>
      <c r="D22" s="106">
        <v>221</v>
      </c>
      <c r="E22" s="106">
        <v>99</v>
      </c>
      <c r="F22" s="105" t="s">
        <v>366</v>
      </c>
    </row>
    <row r="23" spans="1:6" ht="206.25">
      <c r="A23" s="105" t="s">
        <v>367</v>
      </c>
      <c r="B23" s="106">
        <v>220</v>
      </c>
      <c r="C23" s="106">
        <v>271</v>
      </c>
      <c r="D23" s="106">
        <v>341</v>
      </c>
      <c r="E23" s="106">
        <v>121</v>
      </c>
      <c r="F23" s="105" t="s">
        <v>368</v>
      </c>
    </row>
    <row r="24" spans="1:6" ht="56.25">
      <c r="A24" s="105" t="s">
        <v>369</v>
      </c>
      <c r="B24" s="106">
        <v>20</v>
      </c>
      <c r="C24" s="106">
        <v>3.7</v>
      </c>
      <c r="D24" s="106">
        <v>5</v>
      </c>
      <c r="E24" s="106">
        <v>-15</v>
      </c>
      <c r="F24" s="105" t="s">
        <v>370</v>
      </c>
    </row>
    <row r="25" spans="1:6" ht="131.25">
      <c r="A25" s="105" t="s">
        <v>371</v>
      </c>
      <c r="B25" s="106">
        <v>375</v>
      </c>
      <c r="C25" s="106">
        <v>162</v>
      </c>
      <c r="D25" s="106">
        <v>214</v>
      </c>
      <c r="E25" s="106">
        <v>-161</v>
      </c>
      <c r="F25" s="105" t="s">
        <v>372</v>
      </c>
    </row>
    <row r="26" spans="1:6" ht="75">
      <c r="A26" s="105" t="s">
        <v>373</v>
      </c>
      <c r="B26" s="106">
        <v>884.2</v>
      </c>
      <c r="C26" s="106">
        <v>639</v>
      </c>
      <c r="D26" s="106">
        <v>784.2</v>
      </c>
      <c r="E26" s="106">
        <v>-100</v>
      </c>
      <c r="F26" s="105" t="s">
        <v>374</v>
      </c>
    </row>
    <row r="27" spans="1:6" ht="93.75">
      <c r="A27" s="105" t="s">
        <v>375</v>
      </c>
      <c r="B27" s="106">
        <v>1635</v>
      </c>
      <c r="C27" s="106">
        <v>1484.1</v>
      </c>
      <c r="D27" s="106">
        <v>1842</v>
      </c>
      <c r="E27" s="106">
        <v>207</v>
      </c>
      <c r="F27" s="105" t="s">
        <v>376</v>
      </c>
    </row>
    <row r="28" spans="1:6" ht="56.25">
      <c r="A28" s="105" t="s">
        <v>377</v>
      </c>
      <c r="B28" s="106">
        <v>4909.8</v>
      </c>
      <c r="C28" s="106">
        <v>4119.5600000000004</v>
      </c>
      <c r="D28" s="106">
        <v>4246</v>
      </c>
      <c r="E28" s="106">
        <v>-663.2</v>
      </c>
      <c r="F28" s="105" t="s">
        <v>374</v>
      </c>
    </row>
    <row r="29" spans="1:6" ht="168.75">
      <c r="A29" s="105" t="s">
        <v>378</v>
      </c>
      <c r="B29" s="106">
        <v>10000</v>
      </c>
      <c r="C29" s="106">
        <v>1990</v>
      </c>
      <c r="D29" s="106">
        <v>2905</v>
      </c>
      <c r="E29" s="106">
        <v>-7095</v>
      </c>
      <c r="F29" s="105" t="s">
        <v>379</v>
      </c>
    </row>
    <row r="30" spans="1:6" ht="131.25">
      <c r="A30" s="105" t="s">
        <v>380</v>
      </c>
      <c r="B30" s="106">
        <v>24224</v>
      </c>
      <c r="C30" s="106">
        <v>1569.3</v>
      </c>
      <c r="D30" s="106">
        <v>1800</v>
      </c>
      <c r="E30" s="106">
        <v>-22424</v>
      </c>
      <c r="F30" s="105" t="s">
        <v>381</v>
      </c>
    </row>
    <row r="31" spans="1:6" ht="243.75">
      <c r="A31" s="105" t="s">
        <v>382</v>
      </c>
      <c r="B31" s="106">
        <v>365</v>
      </c>
      <c r="C31" s="106">
        <v>368.1</v>
      </c>
      <c r="D31" s="106">
        <v>444</v>
      </c>
      <c r="E31" s="106">
        <v>79</v>
      </c>
      <c r="F31" s="105" t="s">
        <v>383</v>
      </c>
    </row>
    <row r="32" spans="1:6" ht="131.25">
      <c r="A32" s="105" t="s">
        <v>215</v>
      </c>
      <c r="B32" s="106">
        <v>12</v>
      </c>
      <c r="C32" s="106">
        <v>15.1</v>
      </c>
      <c r="D32" s="106">
        <v>19</v>
      </c>
      <c r="E32" s="106">
        <v>7</v>
      </c>
      <c r="F32" s="105" t="s">
        <v>384</v>
      </c>
    </row>
    <row r="33" spans="1:6" ht="131.25">
      <c r="A33" s="105" t="s">
        <v>385</v>
      </c>
      <c r="B33" s="106">
        <v>2</v>
      </c>
      <c r="C33" s="106">
        <v>0</v>
      </c>
      <c r="D33" s="106">
        <v>0</v>
      </c>
      <c r="E33" s="106">
        <v>-2</v>
      </c>
      <c r="F33" s="105" t="s">
        <v>386</v>
      </c>
    </row>
    <row r="34" spans="1:6" ht="131.25">
      <c r="A34" s="105" t="s">
        <v>49</v>
      </c>
      <c r="B34" s="106">
        <v>344</v>
      </c>
      <c r="C34" s="106">
        <v>277.5</v>
      </c>
      <c r="D34" s="106">
        <v>363</v>
      </c>
      <c r="E34" s="106">
        <v>19</v>
      </c>
      <c r="F34" s="105" t="s">
        <v>387</v>
      </c>
    </row>
    <row r="35" spans="1:6" ht="112.5">
      <c r="A35" s="105" t="s">
        <v>219</v>
      </c>
      <c r="B35" s="106">
        <v>5</v>
      </c>
      <c r="C35" s="106">
        <v>5</v>
      </c>
      <c r="D35" s="106">
        <v>7</v>
      </c>
      <c r="E35" s="106">
        <v>2</v>
      </c>
      <c r="F35" s="105" t="s">
        <v>388</v>
      </c>
    </row>
    <row r="36" spans="1:6" ht="56.25">
      <c r="A36" s="105" t="s">
        <v>389</v>
      </c>
      <c r="B36" s="106">
        <v>11</v>
      </c>
      <c r="C36" s="106">
        <v>12.8</v>
      </c>
      <c r="D36" s="106">
        <v>15</v>
      </c>
      <c r="E36" s="106">
        <v>4</v>
      </c>
      <c r="F36" s="105" t="s">
        <v>390</v>
      </c>
    </row>
    <row r="37" spans="1:6" ht="56.25">
      <c r="A37" s="105" t="s">
        <v>391</v>
      </c>
      <c r="B37" s="106">
        <v>5</v>
      </c>
      <c r="C37" s="106">
        <v>25</v>
      </c>
      <c r="D37" s="106">
        <v>25</v>
      </c>
      <c r="E37" s="106">
        <v>20</v>
      </c>
      <c r="F37" s="105" t="s">
        <v>428</v>
      </c>
    </row>
    <row r="38" spans="1:6" ht="131.25">
      <c r="A38" s="105" t="s">
        <v>392</v>
      </c>
      <c r="B38" s="106">
        <v>1980</v>
      </c>
      <c r="C38" s="106">
        <v>1538.3</v>
      </c>
      <c r="D38" s="106">
        <v>1804</v>
      </c>
      <c r="E38" s="106">
        <v>-176</v>
      </c>
      <c r="F38" s="105" t="s">
        <v>393</v>
      </c>
    </row>
    <row r="39" spans="1:6" ht="56.25">
      <c r="A39" s="105" t="s">
        <v>394</v>
      </c>
      <c r="B39" s="106">
        <v>150</v>
      </c>
      <c r="C39" s="106">
        <v>138.80000000000001</v>
      </c>
      <c r="D39" s="106">
        <v>182</v>
      </c>
      <c r="E39" s="106">
        <v>32</v>
      </c>
      <c r="F39" s="105" t="s">
        <v>395</v>
      </c>
    </row>
    <row r="40" spans="1:6" ht="131.25">
      <c r="A40" s="105" t="s">
        <v>396</v>
      </c>
      <c r="B40" s="106">
        <v>2916</v>
      </c>
      <c r="C40" s="106">
        <v>2109.6</v>
      </c>
      <c r="D40" s="106">
        <v>2708</v>
      </c>
      <c r="E40" s="106">
        <v>-208</v>
      </c>
      <c r="F40" s="105" t="s">
        <v>397</v>
      </c>
    </row>
    <row r="41" spans="1:6" ht="168.75">
      <c r="A41" s="105" t="s">
        <v>24</v>
      </c>
      <c r="B41" s="106">
        <v>177</v>
      </c>
      <c r="C41" s="106">
        <v>149.6</v>
      </c>
      <c r="D41" s="106">
        <v>187</v>
      </c>
      <c r="E41" s="106">
        <v>10</v>
      </c>
      <c r="F41" s="105" t="s">
        <v>398</v>
      </c>
    </row>
    <row r="42" spans="1:6" ht="112.5">
      <c r="A42" s="105" t="s">
        <v>399</v>
      </c>
      <c r="B42" s="106">
        <v>84</v>
      </c>
      <c r="C42" s="106">
        <v>48.1</v>
      </c>
      <c r="D42" s="106">
        <v>64</v>
      </c>
      <c r="E42" s="106">
        <v>-20</v>
      </c>
      <c r="F42" s="105" t="s">
        <v>400</v>
      </c>
    </row>
    <row r="43" spans="1:6" ht="93.75">
      <c r="A43" s="105" t="s">
        <v>33</v>
      </c>
      <c r="B43" s="106">
        <v>3251</v>
      </c>
      <c r="C43" s="106">
        <v>3171.3</v>
      </c>
      <c r="D43" s="106">
        <v>4001</v>
      </c>
      <c r="E43" s="106">
        <v>750</v>
      </c>
      <c r="F43" s="105" t="s">
        <v>401</v>
      </c>
    </row>
    <row r="44" spans="1:6" ht="18.75">
      <c r="A44" s="107" t="s">
        <v>402</v>
      </c>
      <c r="B44" s="105"/>
      <c r="C44" s="105"/>
      <c r="D44" s="105"/>
      <c r="E44" s="108">
        <f>SUM(E11:E43)</f>
        <v>-763.20000000000073</v>
      </c>
      <c r="F44" s="105"/>
    </row>
    <row r="45" spans="1:6" ht="18.75">
      <c r="A45" s="149"/>
      <c r="B45" s="149"/>
      <c r="C45" s="149"/>
      <c r="D45" s="149"/>
      <c r="E45" s="149"/>
      <c r="F45" s="149"/>
    </row>
    <row r="46" spans="1:6" ht="18.75">
      <c r="A46" s="252" t="s">
        <v>463</v>
      </c>
      <c r="B46" s="252"/>
      <c r="C46" s="252"/>
      <c r="D46" s="252"/>
      <c r="E46" s="252"/>
      <c r="F46" s="252"/>
    </row>
    <row r="47" spans="1:6" ht="18.75">
      <c r="A47" s="254" t="s">
        <v>464</v>
      </c>
      <c r="B47" s="254"/>
      <c r="C47" s="254"/>
      <c r="D47" s="254"/>
      <c r="E47" s="254"/>
      <c r="F47" s="254"/>
    </row>
    <row r="48" spans="1:6" ht="18.75">
      <c r="A48" s="153"/>
      <c r="B48" s="153"/>
      <c r="C48" s="153"/>
      <c r="D48" s="153"/>
      <c r="E48" s="153"/>
      <c r="F48" s="153"/>
    </row>
    <row r="49" spans="1:10" ht="20.25" customHeight="1">
      <c r="A49" s="251" t="s">
        <v>259</v>
      </c>
      <c r="B49" s="251"/>
      <c r="C49" s="251"/>
      <c r="D49" s="251"/>
      <c r="E49" s="251"/>
      <c r="F49" s="251"/>
    </row>
    <row r="50" spans="1:10" ht="61.5" customHeight="1">
      <c r="A50" s="223" t="s">
        <v>468</v>
      </c>
      <c r="B50" s="223"/>
      <c r="C50" s="223"/>
      <c r="D50" s="223"/>
      <c r="E50" s="223"/>
      <c r="F50" s="223"/>
      <c r="H50" s="80" t="s">
        <v>256</v>
      </c>
    </row>
    <row r="51" spans="1:10" ht="21.75" customHeight="1">
      <c r="A51" s="222" t="s">
        <v>31</v>
      </c>
      <c r="B51" s="222"/>
      <c r="C51" s="222"/>
      <c r="D51" s="222"/>
      <c r="E51" s="222"/>
      <c r="F51" s="222"/>
    </row>
    <row r="52" spans="1:10" ht="64.5" customHeight="1">
      <c r="A52" s="223" t="s">
        <v>465</v>
      </c>
      <c r="B52" s="223"/>
      <c r="C52" s="223"/>
      <c r="D52" s="223"/>
      <c r="E52" s="223"/>
      <c r="F52" s="223"/>
    </row>
    <row r="53" spans="1:10" ht="72.75" customHeight="1">
      <c r="A53" s="223" t="s">
        <v>417</v>
      </c>
      <c r="B53" s="223"/>
      <c r="C53" s="223"/>
      <c r="D53" s="223"/>
      <c r="E53" s="223"/>
      <c r="F53" s="223"/>
    </row>
    <row r="54" spans="1:10" ht="111.75" customHeight="1">
      <c r="A54" s="223" t="s">
        <v>437</v>
      </c>
      <c r="B54" s="223"/>
      <c r="C54" s="223"/>
      <c r="D54" s="223"/>
      <c r="E54" s="223"/>
      <c r="F54" s="223"/>
    </row>
    <row r="55" spans="1:10" ht="21.75" customHeight="1">
      <c r="A55" s="222" t="s">
        <v>85</v>
      </c>
      <c r="B55" s="222"/>
      <c r="C55" s="222"/>
      <c r="D55" s="222"/>
      <c r="E55" s="222"/>
      <c r="F55" s="222"/>
    </row>
    <row r="56" spans="1:10" ht="12.75" customHeight="1">
      <c r="A56" s="245"/>
      <c r="B56" s="245"/>
      <c r="C56" s="245"/>
      <c r="D56" s="245"/>
      <c r="E56" s="245"/>
      <c r="F56" s="245"/>
    </row>
    <row r="57" spans="1:10" ht="18.75" customHeight="1">
      <c r="A57" s="151"/>
      <c r="B57" s="151"/>
      <c r="C57" s="151"/>
      <c r="D57" s="151"/>
      <c r="E57" s="151"/>
      <c r="F57" s="81" t="s">
        <v>7</v>
      </c>
      <c r="I57" s="82"/>
    </row>
    <row r="58" spans="1:10" s="83" customFormat="1" ht="24" customHeight="1">
      <c r="A58" s="154" t="s">
        <v>1</v>
      </c>
      <c r="B58" s="224" t="s">
        <v>2</v>
      </c>
      <c r="C58" s="224"/>
      <c r="D58" s="154" t="s">
        <v>3</v>
      </c>
      <c r="E58" s="154" t="s">
        <v>4</v>
      </c>
      <c r="F58" s="154" t="s">
        <v>5</v>
      </c>
      <c r="G58" s="80"/>
      <c r="H58" s="80"/>
      <c r="I58" s="80"/>
      <c r="J58" s="80"/>
    </row>
    <row r="59" spans="1:10" ht="17.25" customHeight="1">
      <c r="A59" s="148" t="s">
        <v>30</v>
      </c>
      <c r="B59" s="144" t="s">
        <v>323</v>
      </c>
      <c r="C59" s="145"/>
      <c r="D59" s="127">
        <v>407306.5</v>
      </c>
      <c r="E59" s="109">
        <v>100439.9</v>
      </c>
      <c r="F59" s="110">
        <f t="shared" ref="F59:F63" si="0">SUM(D59:E59)</f>
        <v>507746.4</v>
      </c>
    </row>
    <row r="60" spans="1:10" ht="17.25" customHeight="1">
      <c r="A60" s="148" t="s">
        <v>26</v>
      </c>
      <c r="B60" s="144" t="s">
        <v>281</v>
      </c>
      <c r="C60" s="145"/>
      <c r="D60" s="127">
        <v>0</v>
      </c>
      <c r="E60" s="109">
        <v>15000</v>
      </c>
      <c r="F60" s="110">
        <f t="shared" si="0"/>
        <v>15000</v>
      </c>
    </row>
    <row r="61" spans="1:10" ht="17.25" customHeight="1">
      <c r="A61" s="219" t="s">
        <v>25</v>
      </c>
      <c r="B61" s="144" t="s">
        <v>96</v>
      </c>
      <c r="C61" s="145"/>
      <c r="D61" s="127">
        <v>40.200000000000003</v>
      </c>
      <c r="E61" s="109">
        <v>6.5210000000000004E-2</v>
      </c>
      <c r="F61" s="110">
        <f t="shared" si="0"/>
        <v>40.265210000000003</v>
      </c>
    </row>
    <row r="62" spans="1:10" ht="17.25" customHeight="1">
      <c r="A62" s="220"/>
      <c r="B62" s="144" t="s">
        <v>51</v>
      </c>
      <c r="C62" s="145"/>
      <c r="D62" s="127">
        <v>8150.7</v>
      </c>
      <c r="E62" s="109">
        <v>13.041</v>
      </c>
      <c r="F62" s="110">
        <f t="shared" si="0"/>
        <v>8163.741</v>
      </c>
    </row>
    <row r="63" spans="1:10" ht="17.25" customHeight="1">
      <c r="A63" s="221"/>
      <c r="B63" s="144" t="s">
        <v>127</v>
      </c>
      <c r="C63" s="145"/>
      <c r="D63" s="127">
        <v>3438</v>
      </c>
      <c r="E63" s="109">
        <v>96.354290000000006</v>
      </c>
      <c r="F63" s="110">
        <f t="shared" si="0"/>
        <v>3534.3542900000002</v>
      </c>
    </row>
    <row r="64" spans="1:10" ht="22.5" customHeight="1">
      <c r="A64" s="84" t="s">
        <v>6</v>
      </c>
      <c r="B64" s="248"/>
      <c r="C64" s="248"/>
      <c r="D64" s="85"/>
      <c r="E64" s="86">
        <f>SUM(E59:E63)</f>
        <v>115549.3605</v>
      </c>
      <c r="F64" s="85"/>
    </row>
    <row r="65" spans="1:14" ht="9.75" customHeight="1">
      <c r="A65" s="87"/>
      <c r="B65" s="88"/>
      <c r="C65" s="88"/>
      <c r="D65" s="89"/>
      <c r="E65" s="90"/>
      <c r="F65" s="89"/>
    </row>
    <row r="66" spans="1:14" s="79" customFormat="1" ht="24" customHeight="1">
      <c r="A66" s="247" t="s">
        <v>469</v>
      </c>
      <c r="B66" s="247"/>
      <c r="C66" s="247"/>
      <c r="D66" s="247"/>
      <c r="E66" s="247"/>
      <c r="F66" s="247"/>
      <c r="G66" s="92"/>
      <c r="H66" s="92"/>
      <c r="I66" s="92"/>
      <c r="J66" s="92"/>
    </row>
    <row r="67" spans="1:14" ht="31.5" customHeight="1">
      <c r="A67" s="225" t="s">
        <v>87</v>
      </c>
      <c r="B67" s="225"/>
      <c r="C67" s="225"/>
      <c r="D67" s="225"/>
      <c r="E67" s="225"/>
      <c r="F67" s="225"/>
      <c r="G67" s="92"/>
      <c r="H67" s="92"/>
      <c r="I67" s="92"/>
      <c r="J67" s="92"/>
    </row>
    <row r="68" spans="1:14" ht="22.5" customHeight="1">
      <c r="A68" s="216" t="s">
        <v>298</v>
      </c>
      <c r="B68" s="216"/>
      <c r="C68" s="216"/>
      <c r="D68" s="216"/>
      <c r="E68" s="216"/>
      <c r="F68" s="216"/>
      <c r="G68" s="92"/>
      <c r="I68" s="92"/>
      <c r="J68" s="92"/>
    </row>
    <row r="69" spans="1:14" s="92" customFormat="1" ht="51" customHeight="1">
      <c r="A69" s="216" t="s">
        <v>438</v>
      </c>
      <c r="B69" s="216"/>
      <c r="C69" s="216"/>
      <c r="D69" s="216"/>
      <c r="E69" s="216"/>
      <c r="F69" s="216"/>
      <c r="M69" s="80"/>
      <c r="N69" s="80"/>
    </row>
    <row r="70" spans="1:14" s="92" customFormat="1" ht="51" customHeight="1">
      <c r="A70" s="216" t="s">
        <v>441</v>
      </c>
      <c r="B70" s="216"/>
      <c r="C70" s="216"/>
      <c r="D70" s="216"/>
      <c r="E70" s="216"/>
      <c r="F70" s="216"/>
      <c r="M70" s="80"/>
      <c r="N70" s="80"/>
    </row>
    <row r="71" spans="1:14" s="49" customFormat="1" ht="28.5" customHeight="1">
      <c r="A71" s="15"/>
      <c r="B71" s="15"/>
      <c r="C71" s="15"/>
      <c r="D71" s="15"/>
      <c r="E71" s="15"/>
      <c r="F71" s="20" t="s">
        <v>21</v>
      </c>
      <c r="G71" s="5"/>
      <c r="H71" s="11"/>
      <c r="I71" s="5"/>
      <c r="J71" s="5"/>
      <c r="M71" s="19"/>
      <c r="N71" s="19"/>
    </row>
    <row r="72" spans="1:14" ht="18.75">
      <c r="A72" s="154" t="s">
        <v>1</v>
      </c>
      <c r="B72" s="224" t="s">
        <v>2</v>
      </c>
      <c r="C72" s="224"/>
      <c r="D72" s="154" t="s">
        <v>3</v>
      </c>
      <c r="E72" s="154" t="s">
        <v>4</v>
      </c>
      <c r="F72" s="154" t="s">
        <v>5</v>
      </c>
      <c r="H72" s="92"/>
    </row>
    <row r="73" spans="1:14" ht="18.75">
      <c r="A73" s="219" t="s">
        <v>30</v>
      </c>
      <c r="B73" s="144" t="s">
        <v>315</v>
      </c>
      <c r="C73" s="145"/>
      <c r="D73" s="111">
        <v>1678</v>
      </c>
      <c r="E73" s="109">
        <f>-7.3-100+30-13</f>
        <v>-90.3</v>
      </c>
      <c r="F73" s="110">
        <f t="shared" ref="F73" si="1">SUM(D73:E73)</f>
        <v>1587.7</v>
      </c>
      <c r="H73" s="92"/>
    </row>
    <row r="74" spans="1:14" ht="18.75">
      <c r="A74" s="220"/>
      <c r="B74" s="144" t="s">
        <v>412</v>
      </c>
      <c r="C74" s="145"/>
      <c r="D74" s="111">
        <v>5.9</v>
      </c>
      <c r="E74" s="109">
        <v>-5.9</v>
      </c>
      <c r="F74" s="110">
        <f t="shared" ref="F74:F75" si="2">SUM(D74:E74)</f>
        <v>0</v>
      </c>
      <c r="H74" s="92"/>
    </row>
    <row r="75" spans="1:14" ht="18.75">
      <c r="A75" s="220"/>
      <c r="B75" s="144" t="s">
        <v>433</v>
      </c>
      <c r="C75" s="145"/>
      <c r="D75" s="111">
        <v>31185.1</v>
      </c>
      <c r="E75" s="109">
        <f>65-212.9</f>
        <v>-147.9</v>
      </c>
      <c r="F75" s="110">
        <f t="shared" si="2"/>
        <v>31037.199999999997</v>
      </c>
      <c r="H75" s="92"/>
    </row>
    <row r="76" spans="1:14" ht="18.75">
      <c r="A76" s="220"/>
      <c r="B76" s="144" t="s">
        <v>247</v>
      </c>
      <c r="C76" s="145"/>
      <c r="D76" s="111">
        <v>17598.599999999999</v>
      </c>
      <c r="E76" s="109">
        <f>-20-30+92.1+15.5+74.1+5.9-65-30+85</f>
        <v>127.6</v>
      </c>
      <c r="F76" s="110">
        <f t="shared" ref="F76" si="3">SUM(D76:E76)</f>
        <v>17726.199999999997</v>
      </c>
      <c r="H76" s="92"/>
    </row>
    <row r="77" spans="1:14" ht="18.75">
      <c r="A77" s="220"/>
      <c r="B77" s="144" t="s">
        <v>311</v>
      </c>
      <c r="C77" s="145"/>
      <c r="D77" s="111">
        <v>434.3</v>
      </c>
      <c r="E77" s="109">
        <f>-40-98-19.1-34.3+100</f>
        <v>-91.399999999999977</v>
      </c>
      <c r="F77" s="110">
        <f t="shared" ref="F77:F126" si="4">SUM(D77:E77)</f>
        <v>342.90000000000003</v>
      </c>
      <c r="H77" s="92"/>
    </row>
    <row r="78" spans="1:14" ht="18.75">
      <c r="A78" s="220"/>
      <c r="B78" s="144" t="s">
        <v>255</v>
      </c>
      <c r="C78" s="145"/>
      <c r="D78" s="111">
        <v>252.2</v>
      </c>
      <c r="E78" s="109">
        <f>50+40+5.9+10.9+60.2+40.9</f>
        <v>207.9</v>
      </c>
      <c r="F78" s="110">
        <f t="shared" si="4"/>
        <v>460.1</v>
      </c>
      <c r="H78" s="92"/>
    </row>
    <row r="79" spans="1:14" ht="18.75">
      <c r="A79" s="220"/>
      <c r="B79" s="144" t="s">
        <v>415</v>
      </c>
      <c r="C79" s="145"/>
      <c r="D79" s="111">
        <v>115</v>
      </c>
      <c r="E79" s="109">
        <v>-7.3506400000000003</v>
      </c>
      <c r="F79" s="110">
        <f t="shared" si="4"/>
        <v>107.64936</v>
      </c>
      <c r="H79" s="92"/>
    </row>
    <row r="80" spans="1:14" ht="18.75">
      <c r="A80" s="220"/>
      <c r="B80" s="144" t="s">
        <v>416</v>
      </c>
      <c r="C80" s="145"/>
      <c r="D80" s="111">
        <v>0</v>
      </c>
      <c r="E80" s="109">
        <v>7.3506400000000003</v>
      </c>
      <c r="F80" s="110">
        <f t="shared" si="4"/>
        <v>7.3506400000000003</v>
      </c>
      <c r="H80" s="92"/>
    </row>
    <row r="81" spans="1:13" s="92" customFormat="1" ht="18.75">
      <c r="A81" s="220"/>
      <c r="B81" s="144" t="s">
        <v>309</v>
      </c>
      <c r="C81" s="145"/>
      <c r="D81" s="111">
        <v>6711.5</v>
      </c>
      <c r="E81" s="109">
        <v>-1.5</v>
      </c>
      <c r="F81" s="110">
        <f t="shared" ref="F81" si="5">SUM(D81:E81)</f>
        <v>6710</v>
      </c>
      <c r="L81" s="80"/>
      <c r="M81" s="80"/>
    </row>
    <row r="82" spans="1:13" s="92" customFormat="1" ht="18.75">
      <c r="A82" s="220"/>
      <c r="B82" s="144" t="s">
        <v>310</v>
      </c>
      <c r="C82" s="145"/>
      <c r="D82" s="111">
        <v>68.900000000000006</v>
      </c>
      <c r="E82" s="109">
        <v>1.5</v>
      </c>
      <c r="F82" s="110">
        <f t="shared" ref="F82:F99" si="6">SUM(D82:E82)</f>
        <v>70.400000000000006</v>
      </c>
      <c r="L82" s="80"/>
      <c r="M82" s="80"/>
    </row>
    <row r="83" spans="1:13" s="92" customFormat="1" ht="18.75">
      <c r="A83" s="220"/>
      <c r="B83" s="144" t="s">
        <v>312</v>
      </c>
      <c r="C83" s="145"/>
      <c r="D83" s="111">
        <v>80.099999999999994</v>
      </c>
      <c r="E83" s="109">
        <v>-38.799999999999997</v>
      </c>
      <c r="F83" s="110">
        <f t="shared" si="6"/>
        <v>41.3</v>
      </c>
      <c r="L83" s="80"/>
      <c r="M83" s="80"/>
    </row>
    <row r="84" spans="1:13" s="92" customFormat="1" ht="18.75">
      <c r="A84" s="220"/>
      <c r="B84" s="144" t="s">
        <v>313</v>
      </c>
      <c r="C84" s="145"/>
      <c r="D84" s="111">
        <v>16287.6</v>
      </c>
      <c r="E84" s="109">
        <v>38.799999999999997</v>
      </c>
      <c r="F84" s="110">
        <f t="shared" si="6"/>
        <v>16326.4</v>
      </c>
      <c r="L84" s="80"/>
      <c r="M84" s="80"/>
    </row>
    <row r="85" spans="1:13" s="92" customFormat="1" ht="18.75">
      <c r="A85" s="220"/>
      <c r="B85" s="144" t="s">
        <v>326</v>
      </c>
      <c r="C85" s="145"/>
      <c r="D85" s="111">
        <v>827.6</v>
      </c>
      <c r="E85" s="109">
        <v>95.6</v>
      </c>
      <c r="F85" s="110">
        <f t="shared" si="6"/>
        <v>923.2</v>
      </c>
      <c r="L85" s="80"/>
      <c r="M85" s="80"/>
    </row>
    <row r="86" spans="1:13" s="92" customFormat="1" ht="18.75">
      <c r="A86" s="220"/>
      <c r="B86" s="144" t="s">
        <v>410</v>
      </c>
      <c r="C86" s="145"/>
      <c r="D86" s="111">
        <v>3135.7</v>
      </c>
      <c r="E86" s="109">
        <v>-1.7</v>
      </c>
      <c r="F86" s="110">
        <f t="shared" si="6"/>
        <v>3134</v>
      </c>
      <c r="L86" s="80"/>
      <c r="M86" s="80"/>
    </row>
    <row r="87" spans="1:13" s="92" customFormat="1" ht="18.75">
      <c r="A87" s="220"/>
      <c r="B87" s="144" t="s">
        <v>411</v>
      </c>
      <c r="C87" s="145"/>
      <c r="D87" s="111">
        <v>1219.4000000000001</v>
      </c>
      <c r="E87" s="109">
        <v>59.8</v>
      </c>
      <c r="F87" s="110">
        <f t="shared" si="6"/>
        <v>1279.2</v>
      </c>
      <c r="K87" s="80"/>
      <c r="L87" s="80"/>
    </row>
    <row r="88" spans="1:13" s="92" customFormat="1" ht="18.75">
      <c r="A88" s="220"/>
      <c r="B88" s="144" t="s">
        <v>409</v>
      </c>
      <c r="C88" s="145"/>
      <c r="D88" s="111">
        <v>115.1</v>
      </c>
      <c r="E88" s="109">
        <v>-2.2000000000000002</v>
      </c>
      <c r="F88" s="110">
        <f t="shared" si="6"/>
        <v>112.89999999999999</v>
      </c>
      <c r="K88" s="80"/>
      <c r="L88" s="80"/>
    </row>
    <row r="89" spans="1:13" s="92" customFormat="1" ht="18.75">
      <c r="A89" s="220"/>
      <c r="B89" s="144" t="s">
        <v>408</v>
      </c>
      <c r="C89" s="145"/>
      <c r="D89" s="111">
        <v>1</v>
      </c>
      <c r="E89" s="109">
        <v>2.2000000000000002</v>
      </c>
      <c r="F89" s="110">
        <f t="shared" si="6"/>
        <v>3.2</v>
      </c>
      <c r="K89" s="80"/>
      <c r="L89" s="80"/>
    </row>
    <row r="90" spans="1:13" s="92" customFormat="1" ht="18.75">
      <c r="A90" s="220"/>
      <c r="B90" s="144" t="s">
        <v>322</v>
      </c>
      <c r="C90" s="145"/>
      <c r="D90" s="111">
        <v>407306.5</v>
      </c>
      <c r="E90" s="109">
        <v>-407306.5</v>
      </c>
      <c r="F90" s="110">
        <f t="shared" si="6"/>
        <v>0</v>
      </c>
      <c r="K90" s="80"/>
      <c r="L90" s="80"/>
    </row>
    <row r="91" spans="1:13" s="92" customFormat="1" ht="18.75">
      <c r="A91" s="220"/>
      <c r="B91" s="144" t="s">
        <v>323</v>
      </c>
      <c r="C91" s="145"/>
      <c r="D91" s="111">
        <v>0</v>
      </c>
      <c r="E91" s="109">
        <v>407306.5</v>
      </c>
      <c r="F91" s="110">
        <f t="shared" si="6"/>
        <v>407306.5</v>
      </c>
      <c r="K91" s="80"/>
      <c r="L91" s="80"/>
    </row>
    <row r="92" spans="1:13" s="92" customFormat="1" ht="18.75">
      <c r="A92" s="220"/>
      <c r="B92" s="144" t="s">
        <v>451</v>
      </c>
      <c r="C92" s="145"/>
      <c r="D92" s="111">
        <v>22018.7</v>
      </c>
      <c r="E92" s="109">
        <v>1508</v>
      </c>
      <c r="F92" s="110">
        <f t="shared" si="6"/>
        <v>23526.7</v>
      </c>
      <c r="L92" s="80"/>
      <c r="M92" s="80"/>
    </row>
    <row r="93" spans="1:13" s="92" customFormat="1" ht="18.75">
      <c r="A93" s="220"/>
      <c r="B93" s="144" t="s">
        <v>302</v>
      </c>
      <c r="C93" s="145"/>
      <c r="D93" s="111">
        <v>7039.8</v>
      </c>
      <c r="E93" s="109">
        <f>-422-1508</f>
        <v>-1930</v>
      </c>
      <c r="F93" s="110">
        <f t="shared" si="6"/>
        <v>5109.8</v>
      </c>
      <c r="L93" s="80"/>
      <c r="M93" s="80"/>
    </row>
    <row r="94" spans="1:13" s="92" customFormat="1" ht="18.75">
      <c r="A94" s="220"/>
      <c r="B94" s="144" t="s">
        <v>295</v>
      </c>
      <c r="C94" s="145"/>
      <c r="D94" s="111">
        <v>3343</v>
      </c>
      <c r="E94" s="109">
        <f>-598.8-98.2</f>
        <v>-697</v>
      </c>
      <c r="F94" s="110">
        <f t="shared" si="6"/>
        <v>2646</v>
      </c>
      <c r="L94" s="80"/>
      <c r="M94" s="80"/>
    </row>
    <row r="95" spans="1:13" s="92" customFormat="1" ht="18.75">
      <c r="A95" s="220"/>
      <c r="B95" s="144" t="s">
        <v>434</v>
      </c>
      <c r="C95" s="145"/>
      <c r="D95" s="111">
        <v>0</v>
      </c>
      <c r="E95" s="109">
        <v>98.2</v>
      </c>
      <c r="F95" s="110">
        <f t="shared" si="6"/>
        <v>98.2</v>
      </c>
      <c r="L95" s="80"/>
      <c r="M95" s="80"/>
    </row>
    <row r="96" spans="1:13" s="92" customFormat="1" ht="18.75">
      <c r="A96" s="221"/>
      <c r="B96" s="144" t="s">
        <v>296</v>
      </c>
      <c r="C96" s="145"/>
      <c r="D96" s="111">
        <v>3994.8</v>
      </c>
      <c r="E96" s="109">
        <f>598.8+422</f>
        <v>1020.8</v>
      </c>
      <c r="F96" s="110">
        <f t="shared" si="6"/>
        <v>5015.6000000000004</v>
      </c>
      <c r="L96" s="80"/>
      <c r="M96" s="80"/>
    </row>
    <row r="97" spans="1:13" s="92" customFormat="1" ht="18.75">
      <c r="A97" s="214" t="s">
        <v>329</v>
      </c>
      <c r="B97" s="144" t="s">
        <v>330</v>
      </c>
      <c r="C97" s="145"/>
      <c r="D97" s="111">
        <v>1253.3</v>
      </c>
      <c r="E97" s="109">
        <v>-32.799999999999997</v>
      </c>
      <c r="F97" s="110">
        <f t="shared" si="6"/>
        <v>1220.5</v>
      </c>
      <c r="L97" s="80"/>
      <c r="M97" s="80"/>
    </row>
    <row r="98" spans="1:13" s="92" customFormat="1" ht="18.75">
      <c r="A98" s="214"/>
      <c r="B98" s="144" t="s">
        <v>331</v>
      </c>
      <c r="C98" s="145"/>
      <c r="D98" s="111">
        <v>2369.3000000000002</v>
      </c>
      <c r="E98" s="109">
        <f>32.8-16.8</f>
        <v>15.999999999999996</v>
      </c>
      <c r="F98" s="110">
        <f t="shared" ref="F98" si="7">SUM(D98:E98)</f>
        <v>2385.3000000000002</v>
      </c>
      <c r="L98" s="80"/>
      <c r="M98" s="80"/>
    </row>
    <row r="99" spans="1:13" s="92" customFormat="1" ht="18.75">
      <c r="A99" s="214"/>
      <c r="B99" s="144" t="s">
        <v>447</v>
      </c>
      <c r="C99" s="145"/>
      <c r="D99" s="111">
        <v>501.5</v>
      </c>
      <c r="E99" s="109">
        <v>16.8</v>
      </c>
      <c r="F99" s="110">
        <f t="shared" si="6"/>
        <v>518.29999999999995</v>
      </c>
      <c r="L99" s="80"/>
      <c r="M99" s="80"/>
    </row>
    <row r="100" spans="1:13" ht="18.75">
      <c r="A100" s="214" t="s">
        <v>34</v>
      </c>
      <c r="B100" s="112" t="s">
        <v>253</v>
      </c>
      <c r="C100" s="113"/>
      <c r="D100" s="111">
        <v>1134.8</v>
      </c>
      <c r="E100" s="109">
        <f>130+10</f>
        <v>140</v>
      </c>
      <c r="F100" s="110">
        <f t="shared" ref="F100:F106" si="8">SUM(D100:E100)</f>
        <v>1274.8</v>
      </c>
      <c r="G100" s="92"/>
      <c r="K100" s="92"/>
    </row>
    <row r="101" spans="1:13" ht="18.75">
      <c r="A101" s="214"/>
      <c r="B101" s="112" t="s">
        <v>332</v>
      </c>
      <c r="C101" s="113"/>
      <c r="D101" s="111">
        <v>10</v>
      </c>
      <c r="E101" s="109">
        <v>-10</v>
      </c>
      <c r="F101" s="110">
        <f t="shared" si="8"/>
        <v>0</v>
      </c>
      <c r="G101" s="92"/>
      <c r="K101" s="92"/>
    </row>
    <row r="102" spans="1:13" s="92" customFormat="1" ht="18.75">
      <c r="A102" s="214"/>
      <c r="B102" s="112" t="s">
        <v>297</v>
      </c>
      <c r="C102" s="113"/>
      <c r="D102" s="111">
        <v>500</v>
      </c>
      <c r="E102" s="109">
        <f>-130-150+73.9</f>
        <v>-206.1</v>
      </c>
      <c r="F102" s="110">
        <f t="shared" ref="F102:F105" si="9">SUM(D102:E102)</f>
        <v>293.89999999999998</v>
      </c>
      <c r="G102" s="80"/>
      <c r="H102" s="80"/>
      <c r="K102" s="80"/>
    </row>
    <row r="103" spans="1:13" s="92" customFormat="1" ht="18.75">
      <c r="A103" s="214"/>
      <c r="B103" s="112" t="s">
        <v>454</v>
      </c>
      <c r="C103" s="113"/>
      <c r="D103" s="111">
        <v>560</v>
      </c>
      <c r="E103" s="109">
        <v>-10</v>
      </c>
      <c r="F103" s="110">
        <f t="shared" si="9"/>
        <v>550</v>
      </c>
      <c r="G103" s="80"/>
      <c r="H103" s="80"/>
      <c r="K103" s="80"/>
    </row>
    <row r="104" spans="1:13" s="92" customFormat="1" ht="18.75">
      <c r="A104" s="214"/>
      <c r="B104" s="112" t="s">
        <v>314</v>
      </c>
      <c r="C104" s="113"/>
      <c r="D104" s="111">
        <v>500</v>
      </c>
      <c r="E104" s="109">
        <v>150</v>
      </c>
      <c r="F104" s="110">
        <f t="shared" si="9"/>
        <v>650</v>
      </c>
      <c r="G104" s="80"/>
      <c r="H104" s="80"/>
      <c r="K104" s="80"/>
    </row>
    <row r="105" spans="1:13" s="92" customFormat="1" ht="18.75">
      <c r="A105" s="214"/>
      <c r="B105" s="112" t="s">
        <v>453</v>
      </c>
      <c r="C105" s="113"/>
      <c r="D105" s="111">
        <v>853</v>
      </c>
      <c r="E105" s="109">
        <v>-160</v>
      </c>
      <c r="F105" s="110">
        <f t="shared" si="9"/>
        <v>693</v>
      </c>
      <c r="G105" s="80"/>
      <c r="H105" s="80"/>
      <c r="K105" s="80"/>
    </row>
    <row r="106" spans="1:13" s="92" customFormat="1" ht="18.75">
      <c r="A106" s="214"/>
      <c r="B106" s="112" t="s">
        <v>413</v>
      </c>
      <c r="C106" s="113"/>
      <c r="D106" s="111">
        <v>1000</v>
      </c>
      <c r="E106" s="109">
        <v>-300</v>
      </c>
      <c r="F106" s="110">
        <f t="shared" si="8"/>
        <v>700</v>
      </c>
      <c r="G106" s="80"/>
      <c r="H106" s="80"/>
      <c r="K106" s="80"/>
    </row>
    <row r="107" spans="1:13" s="92" customFormat="1" ht="18.75">
      <c r="A107" s="214"/>
      <c r="B107" s="112" t="s">
        <v>414</v>
      </c>
      <c r="C107" s="113"/>
      <c r="D107" s="111">
        <v>1163.7</v>
      </c>
      <c r="E107" s="109">
        <f>300+96.1</f>
        <v>396.1</v>
      </c>
      <c r="F107" s="110">
        <f t="shared" si="4"/>
        <v>1559.8000000000002</v>
      </c>
      <c r="G107" s="80"/>
      <c r="H107" s="80"/>
      <c r="K107" s="80"/>
    </row>
    <row r="108" spans="1:13" s="92" customFormat="1" ht="18.75">
      <c r="A108" s="219" t="s">
        <v>8</v>
      </c>
      <c r="B108" s="144" t="s">
        <v>306</v>
      </c>
      <c r="C108" s="114"/>
      <c r="D108" s="111">
        <v>0</v>
      </c>
      <c r="E108" s="109">
        <f>650.3+3118.1</f>
        <v>3768.3999999999996</v>
      </c>
      <c r="F108" s="110">
        <f t="shared" si="4"/>
        <v>3768.3999999999996</v>
      </c>
      <c r="G108" s="80"/>
      <c r="H108" s="80"/>
      <c r="K108" s="80"/>
    </row>
    <row r="109" spans="1:13" s="92" customFormat="1" ht="18.75">
      <c r="A109" s="220"/>
      <c r="B109" s="144" t="s">
        <v>307</v>
      </c>
      <c r="C109" s="114"/>
      <c r="D109" s="111">
        <v>805.9</v>
      </c>
      <c r="E109" s="109">
        <v>-650.29999999999995</v>
      </c>
      <c r="F109" s="110">
        <f t="shared" si="4"/>
        <v>155.60000000000002</v>
      </c>
      <c r="G109" s="80"/>
      <c r="H109" s="80"/>
      <c r="K109" s="80"/>
    </row>
    <row r="110" spans="1:13" s="92" customFormat="1" ht="18.75">
      <c r="A110" s="220"/>
      <c r="B110" s="144" t="s">
        <v>449</v>
      </c>
      <c r="C110" s="114"/>
      <c r="D110" s="111">
        <v>8358.7000000000007</v>
      </c>
      <c r="E110" s="109">
        <v>-3118.1</v>
      </c>
      <c r="F110" s="110">
        <f t="shared" si="4"/>
        <v>5240.6000000000004</v>
      </c>
      <c r="G110" s="80"/>
      <c r="H110" s="80"/>
      <c r="K110" s="80"/>
    </row>
    <row r="111" spans="1:13" s="92" customFormat="1" ht="18.75">
      <c r="A111" s="220"/>
      <c r="B111" s="144" t="s">
        <v>333</v>
      </c>
      <c r="C111" s="145"/>
      <c r="D111" s="109">
        <v>9836.4</v>
      </c>
      <c r="E111" s="109">
        <f>170-195</f>
        <v>-25</v>
      </c>
      <c r="F111" s="115">
        <f t="shared" ref="F111" si="10">SUM(D111:E111)</f>
        <v>9811.4</v>
      </c>
      <c r="G111" s="80"/>
      <c r="H111" s="80"/>
      <c r="I111" s="80"/>
      <c r="L111" s="80"/>
    </row>
    <row r="112" spans="1:13" s="92" customFormat="1" ht="18.75">
      <c r="A112" s="220"/>
      <c r="B112" s="144" t="s">
        <v>246</v>
      </c>
      <c r="C112" s="145"/>
      <c r="D112" s="109">
        <f>123284.2-551</f>
        <v>122733.2</v>
      </c>
      <c r="E112" s="109">
        <f>365-539+52.2</f>
        <v>-121.8</v>
      </c>
      <c r="F112" s="115">
        <f t="shared" ref="F112" si="11">SUM(D112:E112)</f>
        <v>122611.4</v>
      </c>
      <c r="G112" s="80"/>
      <c r="H112" s="80"/>
      <c r="I112" s="80"/>
      <c r="L112" s="80"/>
    </row>
    <row r="113" spans="1:13" s="92" customFormat="1" ht="18.75">
      <c r="A113" s="220"/>
      <c r="B113" s="144" t="s">
        <v>285</v>
      </c>
      <c r="C113" s="145"/>
      <c r="D113" s="109">
        <v>268.2</v>
      </c>
      <c r="E113" s="109">
        <v>13</v>
      </c>
      <c r="F113" s="115">
        <f t="shared" si="4"/>
        <v>281.2</v>
      </c>
      <c r="G113" s="80"/>
      <c r="H113" s="80"/>
      <c r="I113" s="80"/>
      <c r="J113" s="80"/>
      <c r="M113" s="80"/>
    </row>
    <row r="114" spans="1:13" s="92" customFormat="1" ht="18.75">
      <c r="A114" s="220"/>
      <c r="B114" s="144" t="s">
        <v>257</v>
      </c>
      <c r="C114" s="145"/>
      <c r="D114" s="109">
        <v>54447.7</v>
      </c>
      <c r="E114" s="109">
        <f>99.5+1125-5.5+100</f>
        <v>1319</v>
      </c>
      <c r="F114" s="115">
        <f>SUM(D114:E114)</f>
        <v>55766.7</v>
      </c>
      <c r="G114" s="80"/>
      <c r="H114" s="80"/>
      <c r="I114" s="80"/>
      <c r="J114" s="80"/>
      <c r="M114" s="80"/>
    </row>
    <row r="115" spans="1:13" s="92" customFormat="1" ht="18.75">
      <c r="A115" s="220"/>
      <c r="B115" s="144" t="s">
        <v>334</v>
      </c>
      <c r="C115" s="145"/>
      <c r="D115" s="109">
        <v>8158.8</v>
      </c>
      <c r="E115" s="109">
        <v>204</v>
      </c>
      <c r="F115" s="115">
        <f t="shared" ref="F115:F118" si="12">SUM(D115:E115)</f>
        <v>8362.7999999999993</v>
      </c>
      <c r="G115" s="80"/>
      <c r="H115" s="80"/>
      <c r="I115" s="80"/>
      <c r="J115" s="80"/>
      <c r="M115" s="80"/>
    </row>
    <row r="116" spans="1:13" s="92" customFormat="1" ht="18.75">
      <c r="A116" s="220"/>
      <c r="B116" s="144" t="s">
        <v>286</v>
      </c>
      <c r="C116" s="145"/>
      <c r="D116" s="109">
        <v>839.5</v>
      </c>
      <c r="E116" s="109">
        <v>-15</v>
      </c>
      <c r="F116" s="115">
        <f t="shared" si="12"/>
        <v>824.5</v>
      </c>
      <c r="G116" s="80"/>
      <c r="H116" s="80"/>
      <c r="I116" s="80"/>
      <c r="J116" s="80"/>
      <c r="M116" s="80"/>
    </row>
    <row r="117" spans="1:13" s="92" customFormat="1" ht="18.75">
      <c r="A117" s="220"/>
      <c r="B117" s="144" t="s">
        <v>308</v>
      </c>
      <c r="C117" s="145"/>
      <c r="D117" s="109">
        <v>1069.2</v>
      </c>
      <c r="E117" s="109">
        <f>5-529.2-30</f>
        <v>-554.20000000000005</v>
      </c>
      <c r="F117" s="115">
        <f t="shared" ref="F117" si="13">SUM(D117:E117)</f>
        <v>515</v>
      </c>
      <c r="G117" s="80"/>
      <c r="H117" s="80"/>
      <c r="I117" s="80"/>
      <c r="J117" s="80"/>
      <c r="M117" s="80"/>
    </row>
    <row r="118" spans="1:13" s="92" customFormat="1" ht="18.75">
      <c r="A118" s="220"/>
      <c r="B118" s="144" t="s">
        <v>339</v>
      </c>
      <c r="C118" s="145"/>
      <c r="D118" s="109">
        <v>41</v>
      </c>
      <c r="E118" s="109">
        <v>-39</v>
      </c>
      <c r="F118" s="115">
        <f t="shared" si="12"/>
        <v>2</v>
      </c>
      <c r="G118" s="80"/>
      <c r="H118" s="80"/>
      <c r="I118" s="80"/>
      <c r="J118" s="80"/>
      <c r="M118" s="80"/>
    </row>
    <row r="119" spans="1:13" s="92" customFormat="1" ht="18.75">
      <c r="A119" s="220"/>
      <c r="B119" s="144" t="s">
        <v>271</v>
      </c>
      <c r="C119" s="145"/>
      <c r="D119" s="109">
        <v>129622.5</v>
      </c>
      <c r="E119" s="109">
        <f>607-5-950+5.5+350</f>
        <v>7.5</v>
      </c>
      <c r="F119" s="115">
        <f t="shared" si="4"/>
        <v>129630</v>
      </c>
      <c r="G119" s="80"/>
      <c r="H119" s="80"/>
      <c r="I119" s="80"/>
      <c r="L119" s="80"/>
    </row>
    <row r="120" spans="1:13" s="92" customFormat="1" ht="18.75">
      <c r="A120" s="220"/>
      <c r="B120" s="144" t="s">
        <v>335</v>
      </c>
      <c r="C120" s="145"/>
      <c r="D120" s="109">
        <v>27094.3</v>
      </c>
      <c r="E120" s="109">
        <v>175.3</v>
      </c>
      <c r="F120" s="115">
        <f t="shared" si="4"/>
        <v>27269.599999999999</v>
      </c>
      <c r="G120" s="80"/>
      <c r="J120" s="80"/>
    </row>
    <row r="121" spans="1:13" s="92" customFormat="1" ht="18.75">
      <c r="A121" s="220"/>
      <c r="B121" s="144" t="s">
        <v>336</v>
      </c>
      <c r="C121" s="145"/>
      <c r="D121" s="109">
        <v>162804.6</v>
      </c>
      <c r="E121" s="109">
        <v>-175.3</v>
      </c>
      <c r="F121" s="115">
        <f t="shared" si="4"/>
        <v>162629.30000000002</v>
      </c>
      <c r="G121" s="80"/>
      <c r="H121" s="80"/>
      <c r="K121" s="80"/>
    </row>
    <row r="122" spans="1:13" s="92" customFormat="1" ht="18.75">
      <c r="A122" s="220"/>
      <c r="B122" s="144" t="s">
        <v>39</v>
      </c>
      <c r="C122" s="145"/>
      <c r="D122" s="109">
        <v>25071.4</v>
      </c>
      <c r="E122" s="109">
        <v>300</v>
      </c>
      <c r="F122" s="115">
        <f t="shared" ref="F122:F123" si="14">SUM(D122:E122)</f>
        <v>25371.4</v>
      </c>
      <c r="G122" s="80"/>
      <c r="J122" s="80"/>
    </row>
    <row r="123" spans="1:13" s="92" customFormat="1" ht="18.75">
      <c r="A123" s="220"/>
      <c r="B123" s="144" t="s">
        <v>183</v>
      </c>
      <c r="C123" s="145"/>
      <c r="D123" s="109">
        <v>2080</v>
      </c>
      <c r="E123" s="109">
        <v>-300</v>
      </c>
      <c r="F123" s="115">
        <f t="shared" si="14"/>
        <v>1780</v>
      </c>
      <c r="G123" s="80"/>
      <c r="H123" s="80"/>
      <c r="K123" s="80"/>
    </row>
    <row r="124" spans="1:13" s="92" customFormat="1" ht="18.75">
      <c r="A124" s="220"/>
      <c r="B124" s="144" t="s">
        <v>261</v>
      </c>
      <c r="C124" s="145"/>
      <c r="D124" s="109">
        <v>60873.9</v>
      </c>
      <c r="E124" s="109">
        <v>150.80000000000001</v>
      </c>
      <c r="F124" s="115">
        <f t="shared" si="4"/>
        <v>61024.700000000004</v>
      </c>
      <c r="G124" s="80"/>
      <c r="H124" s="80"/>
      <c r="K124" s="80"/>
    </row>
    <row r="125" spans="1:13" s="92" customFormat="1" ht="18.75">
      <c r="A125" s="220"/>
      <c r="B125" s="144" t="s">
        <v>262</v>
      </c>
      <c r="C125" s="145"/>
      <c r="D125" s="109">
        <v>257504.7</v>
      </c>
      <c r="E125" s="109">
        <v>-150.80000000000001</v>
      </c>
      <c r="F125" s="115">
        <f t="shared" si="4"/>
        <v>257353.90000000002</v>
      </c>
      <c r="G125" s="80"/>
      <c r="H125" s="80"/>
      <c r="I125" s="80"/>
      <c r="L125" s="80"/>
    </row>
    <row r="126" spans="1:13" s="92" customFormat="1" ht="18.75">
      <c r="A126" s="220"/>
      <c r="B126" s="144" t="s">
        <v>337</v>
      </c>
      <c r="C126" s="145"/>
      <c r="D126" s="109">
        <v>315</v>
      </c>
      <c r="E126" s="109">
        <v>49.7</v>
      </c>
      <c r="F126" s="115">
        <f t="shared" si="4"/>
        <v>364.7</v>
      </c>
      <c r="G126" s="80"/>
      <c r="H126" s="80"/>
      <c r="I126" s="80"/>
      <c r="L126" s="80"/>
    </row>
    <row r="127" spans="1:13" s="92" customFormat="1" ht="18.75">
      <c r="A127" s="220"/>
      <c r="B127" s="144" t="s">
        <v>287</v>
      </c>
      <c r="C127" s="145"/>
      <c r="D127" s="109">
        <v>17165.2</v>
      </c>
      <c r="E127" s="109">
        <f>-3+500-70</f>
        <v>427</v>
      </c>
      <c r="F127" s="115">
        <f t="shared" ref="F127:F128" si="15">SUM(D127:E127)</f>
        <v>17592.2</v>
      </c>
      <c r="G127" s="80"/>
      <c r="H127" s="80"/>
      <c r="I127" s="80"/>
      <c r="L127" s="80"/>
    </row>
    <row r="128" spans="1:13" s="92" customFormat="1" ht="18.75">
      <c r="A128" s="220"/>
      <c r="B128" s="144" t="s">
        <v>318</v>
      </c>
      <c r="C128" s="145"/>
      <c r="D128" s="109">
        <v>4160</v>
      </c>
      <c r="E128" s="109">
        <v>-500</v>
      </c>
      <c r="F128" s="115">
        <f t="shared" si="15"/>
        <v>3660</v>
      </c>
      <c r="G128" s="80"/>
      <c r="H128" s="80"/>
      <c r="I128" s="80"/>
      <c r="L128" s="80"/>
    </row>
    <row r="129" spans="1:12" s="92" customFormat="1" ht="18.75">
      <c r="A129" s="220"/>
      <c r="B129" s="144" t="s">
        <v>263</v>
      </c>
      <c r="C129" s="145"/>
      <c r="D129" s="109">
        <v>76.7</v>
      </c>
      <c r="E129" s="109">
        <v>-76.7</v>
      </c>
      <c r="F129" s="115">
        <f t="shared" ref="F129:F132" si="16">SUM(D129:E129)</f>
        <v>0</v>
      </c>
      <c r="G129" s="80"/>
      <c r="H129" s="80"/>
      <c r="I129" s="80"/>
      <c r="L129" s="80"/>
    </row>
    <row r="130" spans="1:12" s="92" customFormat="1" ht="18.75">
      <c r="A130" s="220"/>
      <c r="B130" s="144" t="s">
        <v>288</v>
      </c>
      <c r="C130" s="145"/>
      <c r="D130" s="109">
        <v>0</v>
      </c>
      <c r="E130" s="109">
        <f>6.8+12</f>
        <v>18.8</v>
      </c>
      <c r="F130" s="115">
        <f t="shared" si="16"/>
        <v>18.8</v>
      </c>
      <c r="G130" s="80"/>
      <c r="H130" s="80"/>
      <c r="I130" s="80"/>
      <c r="L130" s="80"/>
    </row>
    <row r="131" spans="1:12" s="92" customFormat="1" ht="18.75">
      <c r="A131" s="220"/>
      <c r="B131" s="144" t="s">
        <v>289</v>
      </c>
      <c r="C131" s="145"/>
      <c r="D131" s="109">
        <v>785.2</v>
      </c>
      <c r="E131" s="109">
        <f>-6.8-12</f>
        <v>-18.8</v>
      </c>
      <c r="F131" s="115">
        <f t="shared" si="16"/>
        <v>766.40000000000009</v>
      </c>
      <c r="G131" s="80"/>
      <c r="H131" s="80"/>
      <c r="I131" s="80"/>
      <c r="L131" s="80"/>
    </row>
    <row r="132" spans="1:12" s="92" customFormat="1" ht="18.75">
      <c r="A132" s="220"/>
      <c r="B132" s="144" t="s">
        <v>254</v>
      </c>
      <c r="C132" s="145"/>
      <c r="D132" s="109">
        <f>30500.3+1098.9</f>
        <v>31599.200000000001</v>
      </c>
      <c r="E132" s="109">
        <f>-989.8+60</f>
        <v>-929.8</v>
      </c>
      <c r="F132" s="115">
        <f t="shared" si="16"/>
        <v>30669.4</v>
      </c>
      <c r="G132" s="80"/>
      <c r="H132" s="80"/>
      <c r="I132" s="80"/>
      <c r="L132" s="80"/>
    </row>
    <row r="133" spans="1:12" s="92" customFormat="1" ht="18.75">
      <c r="A133" s="221"/>
      <c r="B133" s="144" t="s">
        <v>338</v>
      </c>
      <c r="C133" s="145"/>
      <c r="D133" s="109">
        <v>250.1</v>
      </c>
      <c r="E133" s="109">
        <v>-101.9</v>
      </c>
      <c r="F133" s="115">
        <f t="shared" ref="F133" si="17">SUM(D133:E133)</f>
        <v>148.19999999999999</v>
      </c>
      <c r="G133" s="80"/>
      <c r="H133" s="80"/>
      <c r="I133" s="80"/>
      <c r="L133" s="80"/>
    </row>
    <row r="134" spans="1:12" ht="18.75">
      <c r="A134" s="219" t="s">
        <v>275</v>
      </c>
      <c r="B134" s="144" t="s">
        <v>266</v>
      </c>
      <c r="C134" s="145"/>
      <c r="D134" s="109">
        <v>36822.800000000003</v>
      </c>
      <c r="E134" s="109">
        <f>-469.9-6789.6-68.8+1061.5</f>
        <v>-6266.8</v>
      </c>
      <c r="F134" s="110">
        <f t="shared" ref="F134:F139" si="18">SUM(D134:E134)</f>
        <v>30556.000000000004</v>
      </c>
    </row>
    <row r="135" spans="1:12" ht="18.75">
      <c r="A135" s="220"/>
      <c r="B135" s="144" t="s">
        <v>291</v>
      </c>
      <c r="C135" s="145"/>
      <c r="D135" s="109">
        <v>20</v>
      </c>
      <c r="E135" s="109">
        <v>-2.6</v>
      </c>
      <c r="F135" s="110">
        <f t="shared" si="18"/>
        <v>17.399999999999999</v>
      </c>
    </row>
    <row r="136" spans="1:12" ht="18.75">
      <c r="A136" s="220"/>
      <c r="B136" s="144" t="s">
        <v>293</v>
      </c>
      <c r="C136" s="145"/>
      <c r="D136" s="109">
        <v>97.8</v>
      </c>
      <c r="E136" s="109">
        <v>-88.8</v>
      </c>
      <c r="F136" s="110">
        <f t="shared" si="18"/>
        <v>9</v>
      </c>
    </row>
    <row r="137" spans="1:12" ht="18.75">
      <c r="A137" s="220"/>
      <c r="B137" s="144" t="s">
        <v>276</v>
      </c>
      <c r="C137" s="145"/>
      <c r="D137" s="109">
        <v>1646.4</v>
      </c>
      <c r="E137" s="109">
        <f>273.2+42.5</f>
        <v>315.7</v>
      </c>
      <c r="F137" s="110">
        <f t="shared" si="18"/>
        <v>1962.1000000000001</v>
      </c>
    </row>
    <row r="138" spans="1:12" ht="18.75">
      <c r="A138" s="220"/>
      <c r="B138" s="144" t="s">
        <v>294</v>
      </c>
      <c r="C138" s="145"/>
      <c r="D138" s="109">
        <v>0</v>
      </c>
      <c r="E138" s="109">
        <v>88.8</v>
      </c>
      <c r="F138" s="110">
        <f t="shared" si="18"/>
        <v>88.8</v>
      </c>
    </row>
    <row r="139" spans="1:12" ht="18.75">
      <c r="A139" s="220"/>
      <c r="B139" s="144" t="s">
        <v>277</v>
      </c>
      <c r="C139" s="145"/>
      <c r="D139" s="109">
        <v>8875.6</v>
      </c>
      <c r="E139" s="109">
        <f>196.7+68.8</f>
        <v>265.5</v>
      </c>
      <c r="F139" s="110">
        <f t="shared" si="18"/>
        <v>9141.1</v>
      </c>
    </row>
    <row r="140" spans="1:12" ht="18.75">
      <c r="A140" s="220"/>
      <c r="B140" s="144" t="s">
        <v>278</v>
      </c>
      <c r="C140" s="145"/>
      <c r="D140" s="109">
        <v>35</v>
      </c>
      <c r="E140" s="109">
        <v>-13</v>
      </c>
      <c r="F140" s="110">
        <f t="shared" ref="F140:F144" si="19">SUM(D140:E140)</f>
        <v>22</v>
      </c>
    </row>
    <row r="141" spans="1:12" ht="18.75">
      <c r="A141" s="220"/>
      <c r="B141" s="144" t="s">
        <v>290</v>
      </c>
      <c r="C141" s="145"/>
      <c r="D141" s="109">
        <v>0</v>
      </c>
      <c r="E141" s="109">
        <f>6789.6-1061.5</f>
        <v>5728.1</v>
      </c>
      <c r="F141" s="110">
        <f t="shared" si="19"/>
        <v>5728.1</v>
      </c>
    </row>
    <row r="142" spans="1:12" ht="18.75">
      <c r="A142" s="220"/>
      <c r="B142" s="144" t="s">
        <v>292</v>
      </c>
      <c r="C142" s="145"/>
      <c r="D142" s="109">
        <v>13</v>
      </c>
      <c r="E142" s="109">
        <v>2.6</v>
      </c>
      <c r="F142" s="110">
        <f t="shared" si="19"/>
        <v>15.6</v>
      </c>
    </row>
    <row r="143" spans="1:12" ht="18.75">
      <c r="A143" s="220"/>
      <c r="B143" s="144" t="s">
        <v>279</v>
      </c>
      <c r="C143" s="145"/>
      <c r="D143" s="109">
        <v>460</v>
      </c>
      <c r="E143" s="109">
        <f>-58.4-42.5</f>
        <v>-100.9</v>
      </c>
      <c r="F143" s="110">
        <f t="shared" si="19"/>
        <v>359.1</v>
      </c>
    </row>
    <row r="144" spans="1:12" ht="18.75">
      <c r="A144" s="221"/>
      <c r="B144" s="144" t="s">
        <v>280</v>
      </c>
      <c r="C144" s="145"/>
      <c r="D144" s="109">
        <v>900.4</v>
      </c>
      <c r="E144" s="109">
        <v>71.400000000000006</v>
      </c>
      <c r="F144" s="110">
        <f t="shared" si="19"/>
        <v>971.8</v>
      </c>
    </row>
    <row r="145" spans="1:6" ht="18.75">
      <c r="A145" s="219" t="s">
        <v>14</v>
      </c>
      <c r="B145" s="144" t="s">
        <v>268</v>
      </c>
      <c r="C145" s="145"/>
      <c r="D145" s="109">
        <v>22881.9</v>
      </c>
      <c r="E145" s="109">
        <f>128.9-0.1-1.5-0.8+192.8+4</f>
        <v>323.3</v>
      </c>
      <c r="F145" s="110">
        <f t="shared" ref="F145" si="20">SUM(D145:E145)</f>
        <v>23205.200000000001</v>
      </c>
    </row>
    <row r="146" spans="1:6" ht="18.75">
      <c r="A146" s="220"/>
      <c r="B146" s="144" t="s">
        <v>250</v>
      </c>
      <c r="C146" s="145"/>
      <c r="D146" s="109">
        <v>45423.5</v>
      </c>
      <c r="E146" s="109">
        <f>-156.3+29.2+0.1+107.7-21.7-26.1-81.7-6.2</f>
        <v>-155</v>
      </c>
      <c r="F146" s="110">
        <f t="shared" ref="F146:F151" si="21">SUM(D146:E146)</f>
        <v>45268.5</v>
      </c>
    </row>
    <row r="147" spans="1:6" ht="18.75">
      <c r="A147" s="220"/>
      <c r="B147" s="144" t="s">
        <v>269</v>
      </c>
      <c r="C147" s="145"/>
      <c r="D147" s="109">
        <v>2944.9</v>
      </c>
      <c r="E147" s="109">
        <f>-0.7-0.1-21-0.2-46.5+2.2</f>
        <v>-66.3</v>
      </c>
      <c r="F147" s="110">
        <f t="shared" si="21"/>
        <v>2878.6</v>
      </c>
    </row>
    <row r="148" spans="1:6" ht="18.75">
      <c r="A148" s="220"/>
      <c r="B148" s="144" t="s">
        <v>270</v>
      </c>
      <c r="C148" s="145"/>
      <c r="D148" s="109">
        <v>14847.5</v>
      </c>
      <c r="E148" s="109">
        <f>28.1-29.2+0.6-76.6+12.7-50.3</f>
        <v>-114.69999999999999</v>
      </c>
      <c r="F148" s="110">
        <f t="shared" si="21"/>
        <v>14732.8</v>
      </c>
    </row>
    <row r="149" spans="1:6" ht="18.75">
      <c r="A149" s="220"/>
      <c r="B149" s="144" t="s">
        <v>319</v>
      </c>
      <c r="C149" s="145"/>
      <c r="D149" s="109">
        <v>916.4</v>
      </c>
      <c r="E149" s="109">
        <f>-10.2-4.3-2.4</f>
        <v>-16.899999999999999</v>
      </c>
      <c r="F149" s="110">
        <f t="shared" si="21"/>
        <v>899.5</v>
      </c>
    </row>
    <row r="150" spans="1:6" ht="18.75">
      <c r="A150" s="220"/>
      <c r="B150" s="144" t="s">
        <v>430</v>
      </c>
      <c r="C150" s="145"/>
      <c r="D150" s="109">
        <v>93.8</v>
      </c>
      <c r="E150" s="109">
        <f>-9.9-3</f>
        <v>-12.9</v>
      </c>
      <c r="F150" s="110">
        <f t="shared" ref="F150" si="22">SUM(D150:E150)</f>
        <v>80.899999999999991</v>
      </c>
    </row>
    <row r="151" spans="1:6" ht="18.75">
      <c r="A151" s="220"/>
      <c r="B151" s="144" t="s">
        <v>317</v>
      </c>
      <c r="C151" s="145"/>
      <c r="D151" s="109">
        <v>15.4</v>
      </c>
      <c r="E151" s="109">
        <v>-0.2</v>
      </c>
      <c r="F151" s="110">
        <f t="shared" si="21"/>
        <v>15.200000000000001</v>
      </c>
    </row>
    <row r="152" spans="1:6" ht="18.75">
      <c r="A152" s="220"/>
      <c r="B152" s="144" t="s">
        <v>320</v>
      </c>
      <c r="C152" s="145"/>
      <c r="D152" s="109">
        <v>2575</v>
      </c>
      <c r="E152" s="109">
        <f>-7-0.6-11.2</f>
        <v>-18.799999999999997</v>
      </c>
      <c r="F152" s="110">
        <f t="shared" ref="F152:F153" si="23">SUM(D152:E152)</f>
        <v>2556.1999999999998</v>
      </c>
    </row>
    <row r="153" spans="1:6" ht="18.75">
      <c r="A153" s="220"/>
      <c r="B153" s="144" t="s">
        <v>321</v>
      </c>
      <c r="C153" s="145"/>
      <c r="D153" s="109">
        <v>319</v>
      </c>
      <c r="E153" s="109">
        <f>8.6+31.6+19.3+2.3</f>
        <v>61.8</v>
      </c>
      <c r="F153" s="110">
        <f t="shared" si="23"/>
        <v>380.8</v>
      </c>
    </row>
    <row r="154" spans="1:6" ht="18.75">
      <c r="A154" s="221"/>
      <c r="B154" s="144" t="s">
        <v>316</v>
      </c>
      <c r="C154" s="145"/>
      <c r="D154" s="109">
        <v>0.3</v>
      </c>
      <c r="E154" s="109">
        <v>-0.3</v>
      </c>
      <c r="F154" s="110">
        <f t="shared" ref="F154:F163" si="24">SUM(D154:E154)</f>
        <v>0</v>
      </c>
    </row>
    <row r="155" spans="1:6" ht="18.75">
      <c r="A155" s="214" t="s">
        <v>25</v>
      </c>
      <c r="B155" s="116" t="s">
        <v>267</v>
      </c>
      <c r="C155" s="117"/>
      <c r="D155" s="118">
        <v>30877.5</v>
      </c>
      <c r="E155" s="118">
        <f>29.9-0.2</f>
        <v>29.7</v>
      </c>
      <c r="F155" s="110">
        <f t="shared" ref="F155:F159" si="25">SUM(D155:E155)</f>
        <v>30907.200000000001</v>
      </c>
    </row>
    <row r="156" spans="1:6" ht="18.75">
      <c r="A156" s="214"/>
      <c r="B156" s="116" t="s">
        <v>101</v>
      </c>
      <c r="C156" s="117"/>
      <c r="D156" s="118">
        <v>6138.6</v>
      </c>
      <c r="E156" s="118">
        <f>-25+0.2</f>
        <v>-24.8</v>
      </c>
      <c r="F156" s="110">
        <f t="shared" si="25"/>
        <v>6113.8</v>
      </c>
    </row>
    <row r="157" spans="1:6" ht="18.75">
      <c r="A157" s="214"/>
      <c r="B157" s="116" t="s">
        <v>100</v>
      </c>
      <c r="C157" s="117"/>
      <c r="D157" s="118">
        <v>267</v>
      </c>
      <c r="E157" s="118">
        <v>-4.9000000000000004</v>
      </c>
      <c r="F157" s="110">
        <f t="shared" si="25"/>
        <v>262.10000000000002</v>
      </c>
    </row>
    <row r="158" spans="1:6" ht="18.75">
      <c r="A158" s="214"/>
      <c r="B158" s="116" t="s">
        <v>325</v>
      </c>
      <c r="C158" s="117"/>
      <c r="D158" s="118">
        <v>2</v>
      </c>
      <c r="E158" s="118">
        <v>-0.7</v>
      </c>
      <c r="F158" s="110">
        <f t="shared" si="25"/>
        <v>1.3</v>
      </c>
    </row>
    <row r="159" spans="1:6" ht="18.75">
      <c r="A159" s="214"/>
      <c r="B159" s="116" t="s">
        <v>127</v>
      </c>
      <c r="C159" s="117"/>
      <c r="D159" s="118">
        <f>F63</f>
        <v>3534.3542900000002</v>
      </c>
      <c r="E159" s="118">
        <v>0.7</v>
      </c>
      <c r="F159" s="110">
        <f t="shared" si="25"/>
        <v>3535.05429</v>
      </c>
    </row>
    <row r="160" spans="1:6" ht="18.75">
      <c r="A160" s="214"/>
      <c r="B160" s="144" t="s">
        <v>299</v>
      </c>
      <c r="C160" s="145"/>
      <c r="D160" s="111">
        <v>360</v>
      </c>
      <c r="E160" s="109">
        <v>110</v>
      </c>
      <c r="F160" s="110">
        <f t="shared" ref="F160:F162" si="26">SUM(D160:E160)</f>
        <v>470</v>
      </c>
    </row>
    <row r="161" spans="1:6" ht="18.75">
      <c r="A161" s="214"/>
      <c r="B161" s="144" t="s">
        <v>264</v>
      </c>
      <c r="C161" s="145"/>
      <c r="D161" s="111">
        <v>339.5</v>
      </c>
      <c r="E161" s="109">
        <v>-110</v>
      </c>
      <c r="F161" s="110">
        <f t="shared" si="26"/>
        <v>229.5</v>
      </c>
    </row>
    <row r="162" spans="1:6" ht="18.75">
      <c r="A162" s="214"/>
      <c r="B162" s="144" t="s">
        <v>272</v>
      </c>
      <c r="C162" s="145"/>
      <c r="D162" s="111">
        <v>640.79999999999995</v>
      </c>
      <c r="E162" s="109">
        <f>-31+50+550+19</f>
        <v>588</v>
      </c>
      <c r="F162" s="110">
        <f t="shared" si="26"/>
        <v>1228.8</v>
      </c>
    </row>
    <row r="163" spans="1:6" ht="18.75">
      <c r="A163" s="214"/>
      <c r="B163" s="144" t="s">
        <v>273</v>
      </c>
      <c r="C163" s="145"/>
      <c r="D163" s="111">
        <v>620.79999999999995</v>
      </c>
      <c r="E163" s="109">
        <f>31+50-19</f>
        <v>62</v>
      </c>
      <c r="F163" s="110">
        <f t="shared" si="24"/>
        <v>682.8</v>
      </c>
    </row>
    <row r="164" spans="1:6" ht="18.75">
      <c r="A164" s="147" t="s">
        <v>36</v>
      </c>
      <c r="B164" s="229" t="s">
        <v>248</v>
      </c>
      <c r="C164" s="230"/>
      <c r="D164" s="111">
        <v>9918.2999999999993</v>
      </c>
      <c r="E164" s="109">
        <f>-95.6-50-100-58.1-550</f>
        <v>-853.7</v>
      </c>
      <c r="F164" s="110">
        <f t="shared" ref="F164" si="27">SUM(D164:E164)</f>
        <v>9064.5999999999985</v>
      </c>
    </row>
    <row r="165" spans="1:6" ht="18.75">
      <c r="A165" s="219" t="s">
        <v>26</v>
      </c>
      <c r="B165" s="229" t="s">
        <v>303</v>
      </c>
      <c r="C165" s="230"/>
      <c r="D165" s="111">
        <v>63727</v>
      </c>
      <c r="E165" s="109">
        <f>-5150.1-840</f>
        <v>-5990.1</v>
      </c>
      <c r="F165" s="115">
        <f t="shared" ref="F165" si="28">SUM(D165:E165)</f>
        <v>57736.9</v>
      </c>
    </row>
    <row r="166" spans="1:6" ht="18.75">
      <c r="A166" s="220"/>
      <c r="B166" s="229" t="s">
        <v>252</v>
      </c>
      <c r="C166" s="230"/>
      <c r="D166" s="111">
        <v>94007.2</v>
      </c>
      <c r="E166" s="109">
        <f>-1500-750-358.7+3000</f>
        <v>391.30000000000018</v>
      </c>
      <c r="F166" s="115">
        <f t="shared" ref="F166:F180" si="29">SUM(D166:E166)</f>
        <v>94398.5</v>
      </c>
    </row>
    <row r="167" spans="1:6" ht="18.75">
      <c r="A167" s="220"/>
      <c r="B167" s="229" t="s">
        <v>282</v>
      </c>
      <c r="C167" s="230"/>
      <c r="D167" s="111">
        <v>9657</v>
      </c>
      <c r="E167" s="109">
        <v>1300</v>
      </c>
      <c r="F167" s="115">
        <f t="shared" si="29"/>
        <v>10957</v>
      </c>
    </row>
    <row r="168" spans="1:6" ht="18.75">
      <c r="A168" s="220"/>
      <c r="B168" s="229" t="s">
        <v>284</v>
      </c>
      <c r="C168" s="230"/>
      <c r="D168" s="111">
        <v>0</v>
      </c>
      <c r="E168" s="109">
        <v>750</v>
      </c>
      <c r="F168" s="115">
        <f t="shared" si="29"/>
        <v>750</v>
      </c>
    </row>
    <row r="169" spans="1:6" ht="18.75">
      <c r="A169" s="220"/>
      <c r="B169" s="229" t="s">
        <v>301</v>
      </c>
      <c r="C169" s="230"/>
      <c r="D169" s="111">
        <v>691.3</v>
      </c>
      <c r="E169" s="109">
        <v>358.7</v>
      </c>
      <c r="F169" s="115">
        <f t="shared" si="29"/>
        <v>1050</v>
      </c>
    </row>
    <row r="170" spans="1:6" ht="18.75">
      <c r="A170" s="220"/>
      <c r="B170" s="144" t="s">
        <v>458</v>
      </c>
      <c r="C170" s="145"/>
      <c r="D170" s="111">
        <v>790.4</v>
      </c>
      <c r="E170" s="109">
        <v>-200</v>
      </c>
      <c r="F170" s="115">
        <f t="shared" si="29"/>
        <v>590.4</v>
      </c>
    </row>
    <row r="171" spans="1:6" ht="18.75">
      <c r="A171" s="220"/>
      <c r="B171" s="144" t="s">
        <v>442</v>
      </c>
      <c r="C171" s="145"/>
      <c r="D171" s="109">
        <v>5585</v>
      </c>
      <c r="E171" s="109">
        <v>750</v>
      </c>
      <c r="F171" s="115">
        <f t="shared" si="29"/>
        <v>6335</v>
      </c>
    </row>
    <row r="172" spans="1:6" ht="18.75">
      <c r="A172" s="220"/>
      <c r="B172" s="144" t="s">
        <v>459</v>
      </c>
      <c r="C172" s="145"/>
      <c r="D172" s="109">
        <v>17380.2</v>
      </c>
      <c r="E172" s="109">
        <v>200</v>
      </c>
      <c r="F172" s="115">
        <f t="shared" si="29"/>
        <v>17580.2</v>
      </c>
    </row>
    <row r="173" spans="1:6" ht="18.75">
      <c r="A173" s="220"/>
      <c r="B173" s="144" t="s">
        <v>304</v>
      </c>
      <c r="C173" s="145"/>
      <c r="D173" s="109">
        <v>175756.2</v>
      </c>
      <c r="E173" s="109">
        <f>5150.1+840</f>
        <v>5990.1</v>
      </c>
      <c r="F173" s="115">
        <f t="shared" si="29"/>
        <v>181746.30000000002</v>
      </c>
    </row>
    <row r="174" spans="1:6" ht="18.75">
      <c r="A174" s="220"/>
      <c r="B174" s="144" t="s">
        <v>456</v>
      </c>
      <c r="C174" s="145"/>
      <c r="D174" s="109">
        <v>4500</v>
      </c>
      <c r="E174" s="109">
        <v>80</v>
      </c>
      <c r="F174" s="115">
        <f t="shared" si="29"/>
        <v>4580</v>
      </c>
    </row>
    <row r="175" spans="1:6" ht="18.75">
      <c r="A175" s="220"/>
      <c r="B175" s="144" t="s">
        <v>283</v>
      </c>
      <c r="C175" s="145"/>
      <c r="D175" s="111">
        <v>400</v>
      </c>
      <c r="E175" s="109">
        <v>200</v>
      </c>
      <c r="F175" s="115">
        <f t="shared" si="29"/>
        <v>600</v>
      </c>
    </row>
    <row r="176" spans="1:6" ht="18.75">
      <c r="A176" s="220"/>
      <c r="B176" s="144" t="s">
        <v>443</v>
      </c>
      <c r="C176" s="145"/>
      <c r="D176" s="111">
        <v>15950</v>
      </c>
      <c r="E176" s="109">
        <f>300-3000</f>
        <v>-2700</v>
      </c>
      <c r="F176" s="115">
        <f t="shared" si="29"/>
        <v>13250</v>
      </c>
    </row>
    <row r="177" spans="1:13" ht="18.75">
      <c r="A177" s="220"/>
      <c r="B177" s="144" t="s">
        <v>455</v>
      </c>
      <c r="C177" s="145"/>
      <c r="D177" s="111">
        <v>2412.9</v>
      </c>
      <c r="E177" s="109">
        <v>-80</v>
      </c>
      <c r="F177" s="115">
        <f t="shared" si="29"/>
        <v>2332.9</v>
      </c>
    </row>
    <row r="178" spans="1:13" ht="18.75" customHeight="1">
      <c r="A178" s="220"/>
      <c r="B178" s="242" t="s">
        <v>460</v>
      </c>
      <c r="C178" s="243"/>
      <c r="D178" s="243"/>
      <c r="E178" s="243"/>
      <c r="F178" s="244"/>
    </row>
    <row r="179" spans="1:13" ht="18.75">
      <c r="A179" s="220"/>
      <c r="B179" s="144" t="s">
        <v>459</v>
      </c>
      <c r="C179" s="145"/>
      <c r="D179" s="111">
        <v>28105.1</v>
      </c>
      <c r="E179" s="109">
        <v>13400</v>
      </c>
      <c r="F179" s="115">
        <f t="shared" si="29"/>
        <v>41505.1</v>
      </c>
    </row>
    <row r="180" spans="1:13" ht="18.75">
      <c r="A180" s="221"/>
      <c r="B180" s="144" t="s">
        <v>304</v>
      </c>
      <c r="C180" s="145"/>
      <c r="D180" s="111">
        <v>29595.3</v>
      </c>
      <c r="E180" s="109">
        <v>-13400</v>
      </c>
      <c r="F180" s="115">
        <f t="shared" si="29"/>
        <v>16195.3</v>
      </c>
    </row>
    <row r="181" spans="1:13" ht="27" customHeight="1">
      <c r="A181" s="84" t="s">
        <v>6</v>
      </c>
      <c r="B181" s="248"/>
      <c r="C181" s="248"/>
      <c r="D181" s="85" t="s">
        <v>20</v>
      </c>
      <c r="E181" s="86">
        <f>SUM(E73:E177)</f>
        <v>656.80000000001019</v>
      </c>
      <c r="F181" s="85"/>
    </row>
    <row r="182" spans="1:13" ht="24" customHeight="1">
      <c r="A182" s="87"/>
      <c r="B182" s="88"/>
      <c r="C182" s="88"/>
      <c r="D182" s="89"/>
      <c r="E182" s="90"/>
      <c r="F182" s="89"/>
      <c r="K182" s="94"/>
      <c r="L182" s="94"/>
      <c r="M182" s="94"/>
    </row>
    <row r="183" spans="1:13" ht="100.5" customHeight="1">
      <c r="A183" s="237" t="s">
        <v>327</v>
      </c>
      <c r="B183" s="237"/>
      <c r="C183" s="237"/>
      <c r="D183" s="237"/>
      <c r="E183" s="237"/>
      <c r="F183" s="237"/>
      <c r="K183" s="94"/>
      <c r="L183" s="94"/>
      <c r="M183" s="94"/>
    </row>
    <row r="184" spans="1:13" ht="24.75" customHeight="1">
      <c r="A184" s="146"/>
      <c r="B184" s="100"/>
      <c r="C184" s="146"/>
      <c r="D184" s="146"/>
      <c r="E184" s="146"/>
      <c r="F184" s="101"/>
    </row>
    <row r="185" spans="1:13" ht="18.75" customHeight="1">
      <c r="A185" s="215" t="s">
        <v>66</v>
      </c>
      <c r="B185" s="215"/>
      <c r="C185" s="215"/>
      <c r="D185" s="215"/>
      <c r="E185" s="255" t="s">
        <v>265</v>
      </c>
      <c r="F185" s="255"/>
    </row>
    <row r="186" spans="1:13" ht="14.25" customHeight="1">
      <c r="A186" s="87"/>
      <c r="B186" s="88"/>
      <c r="C186" s="88"/>
      <c r="D186" s="89"/>
      <c r="E186" s="90"/>
      <c r="F186" s="89"/>
    </row>
    <row r="187" spans="1:13">
      <c r="B187" s="99"/>
      <c r="E187" s="80" t="s">
        <v>256</v>
      </c>
    </row>
  </sheetData>
  <mergeCells count="46">
    <mergeCell ref="A185:D185"/>
    <mergeCell ref="E185:F185"/>
    <mergeCell ref="B169:C169"/>
    <mergeCell ref="B178:F178"/>
    <mergeCell ref="B181:C181"/>
    <mergeCell ref="A183:F183"/>
    <mergeCell ref="A165:A180"/>
    <mergeCell ref="B165:C165"/>
    <mergeCell ref="B166:C166"/>
    <mergeCell ref="B167:C167"/>
    <mergeCell ref="B168:C168"/>
    <mergeCell ref="A108:A133"/>
    <mergeCell ref="A134:A144"/>
    <mergeCell ref="A145:A154"/>
    <mergeCell ref="A155:A163"/>
    <mergeCell ref="B164:C164"/>
    <mergeCell ref="A100:A107"/>
    <mergeCell ref="A67:F67"/>
    <mergeCell ref="A68:F68"/>
    <mergeCell ref="A66:F66"/>
    <mergeCell ref="B58:C58"/>
    <mergeCell ref="A61:A63"/>
    <mergeCell ref="B64:C64"/>
    <mergeCell ref="A69:F69"/>
    <mergeCell ref="A70:F70"/>
    <mergeCell ref="B72:C72"/>
    <mergeCell ref="A73:A96"/>
    <mergeCell ref="A97:A99"/>
    <mergeCell ref="A56:F56"/>
    <mergeCell ref="A7:B7"/>
    <mergeCell ref="A9:F9"/>
    <mergeCell ref="A46:F46"/>
    <mergeCell ref="A47:F47"/>
    <mergeCell ref="A49:F49"/>
    <mergeCell ref="A50:F50"/>
    <mergeCell ref="A51:F51"/>
    <mergeCell ref="A52:F52"/>
    <mergeCell ref="A53:F53"/>
    <mergeCell ref="A54:F54"/>
    <mergeCell ref="A55:F55"/>
    <mergeCell ref="A6:B6"/>
    <mergeCell ref="A1:F1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scale="71" fitToHeight="1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ноябрь 2017г.</vt:lpstr>
      <vt:lpstr>ноябрь 2017г. на сайт</vt:lpstr>
      <vt:lpstr>август!Область_печати</vt:lpstr>
      <vt:lpstr>'ноябрь 2017г.'!Область_печати</vt:lpstr>
      <vt:lpstr>'ноябрь 2017г. на сайт'!Область_печати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Alex</cp:lastModifiedBy>
  <cp:lastPrinted>2017-11-28T06:45:47Z</cp:lastPrinted>
  <dcterms:created xsi:type="dcterms:W3CDTF">2009-01-26T06:44:36Z</dcterms:created>
  <dcterms:modified xsi:type="dcterms:W3CDTF">2017-12-05T08:37:56Z</dcterms:modified>
</cp:coreProperties>
</file>