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3125" yWindow="5685" windowWidth="15480" windowHeight="1170" activeTab="2"/>
  </bookViews>
  <sheets>
    <sheet name="первоначальный " sheetId="11" r:id="rId1"/>
    <sheet name="изменения июнь внеочередная" sheetId="12" r:id="rId2"/>
    <sheet name="изменения июнь внеочередная кор" sheetId="14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1" hidden="1">'изменения июнь внеочередная'!$A$12:$O$512</definedName>
    <definedName name="_xlnm._FilterDatabase" localSheetId="2" hidden="1">'изменения июнь внеочередная кор'!$A$12:$O$22</definedName>
    <definedName name="_xlnm._FilterDatabase" localSheetId="0" hidden="1">'первоначальный '!$A$8:$O$475</definedName>
    <definedName name="_xlnm.Print_Titles" localSheetId="1">'изменения июнь внеочередная'!$13:$13</definedName>
    <definedName name="_xlnm.Print_Titles" localSheetId="2">'изменения июнь внеочередная кор'!$13:$13</definedName>
    <definedName name="_xlnm.Print_Titles" localSheetId="0">'первоначальный '!$9:$9</definedName>
    <definedName name="_xlnm.Print_Area" localSheetId="1">'изменения июнь внеочередная'!$A$5:$H$517</definedName>
    <definedName name="_xlnm.Print_Area" localSheetId="2">'изменения июнь внеочередная кор'!$A$1:$H$23</definedName>
    <definedName name="_xlnm.Print_Area" localSheetId="0">'первоначальный '!$A$1:$H$479</definedName>
  </definedNames>
  <calcPr calcId="145621"/>
  <customWorkbookViews>
    <customWorkbookView name="Татьяна - Личное представление" guid="{39DFD954-E818-44E9-9549-C794F1423164}" mergeInterval="0" personalView="1" maximized="1" windowWidth="1276" windowHeight="852" activeSheetId="1"/>
    <customWorkbookView name="1 - Личное представление" guid="{A175164D-EEF6-45D9-AB98-D99F028604DF}" mergeInterval="0" personalView="1" maximized="1" windowWidth="1020" windowHeight="603" activeSheetId="1"/>
  </customWorkbookViews>
</workbook>
</file>

<file path=xl/calcChain.xml><?xml version="1.0" encoding="utf-8"?>
<calcChain xmlns="http://schemas.openxmlformats.org/spreadsheetml/2006/main">
  <c r="F166" i="12" l="1"/>
  <c r="F114" i="12"/>
  <c r="F155" i="12" l="1"/>
  <c r="F140" i="12"/>
  <c r="F311" i="12" l="1"/>
  <c r="F308" i="12"/>
  <c r="F306" i="12"/>
  <c r="F247" i="12"/>
  <c r="F37" i="12" l="1"/>
  <c r="F36" i="12"/>
  <c r="F251" i="12"/>
  <c r="F494" i="12"/>
  <c r="F490" i="12"/>
  <c r="F289" i="12" l="1"/>
  <c r="F293" i="12"/>
  <c r="F292" i="12"/>
  <c r="F224" i="12"/>
  <c r="F221" i="12"/>
  <c r="F207" i="12"/>
  <c r="F206" i="12"/>
  <c r="F426" i="12" l="1"/>
  <c r="G428" i="12"/>
  <c r="G426" i="12" s="1"/>
  <c r="H428" i="12"/>
  <c r="H426" i="12" s="1"/>
  <c r="F428" i="12"/>
  <c r="F57" i="12" l="1"/>
  <c r="F170" i="12"/>
  <c r="F168" i="12"/>
  <c r="F111" i="12"/>
  <c r="F65" i="12"/>
  <c r="F195" i="12"/>
  <c r="F101" i="12"/>
  <c r="F260" i="12" l="1"/>
  <c r="G450" i="12"/>
  <c r="H450" i="12"/>
  <c r="F450" i="12"/>
  <c r="F452" i="12"/>
  <c r="F212" i="12" l="1"/>
  <c r="F211" i="12"/>
  <c r="F59" i="12" l="1"/>
  <c r="H185" i="12"/>
  <c r="G185" i="12"/>
  <c r="F185" i="12"/>
  <c r="F118" i="12"/>
  <c r="F263" i="12" l="1"/>
  <c r="F262" i="12"/>
  <c r="F271" i="12" l="1"/>
  <c r="F275" i="12"/>
  <c r="F27" i="12"/>
  <c r="F25" i="12"/>
  <c r="F467" i="12" l="1"/>
  <c r="F463" i="12"/>
  <c r="F469" i="12"/>
  <c r="F287" i="12" l="1"/>
  <c r="F284" i="12"/>
  <c r="F283" i="12"/>
  <c r="F41" i="12" l="1"/>
  <c r="F17" i="12"/>
  <c r="F139" i="12"/>
  <c r="F143" i="12"/>
  <c r="F142" i="12"/>
  <c r="F325" i="12"/>
  <c r="F324" i="12"/>
  <c r="F48" i="12"/>
  <c r="F88" i="12"/>
  <c r="F99" i="12"/>
  <c r="F98" i="12"/>
  <c r="F192" i="12" l="1"/>
  <c r="F354" i="12"/>
  <c r="F501" i="12" l="1"/>
  <c r="F277" i="12"/>
  <c r="F22" i="12" l="1"/>
  <c r="F91" i="12"/>
  <c r="F184" i="12"/>
  <c r="F189" i="12" l="1"/>
  <c r="F147" i="12"/>
  <c r="F199" i="12" l="1"/>
  <c r="F237" i="12"/>
  <c r="F236" i="12"/>
  <c r="F294" i="12"/>
  <c r="F225" i="12"/>
  <c r="F286" i="12" l="1"/>
  <c r="F291" i="12"/>
  <c r="F205" i="12"/>
  <c r="F434" i="12"/>
  <c r="F265" i="12"/>
  <c r="F217" i="12"/>
  <c r="F216" i="12"/>
  <c r="F215" i="12"/>
  <c r="F203" i="12"/>
  <c r="F202" i="12"/>
  <c r="F201" i="12"/>
  <c r="F30" i="12"/>
  <c r="F191" i="12" l="1"/>
  <c r="F444" i="12" l="1"/>
  <c r="F331" i="12"/>
  <c r="F330" i="12"/>
  <c r="F328" i="12"/>
  <c r="F476" i="12"/>
  <c r="F257" i="12" l="1"/>
  <c r="F256" i="12"/>
  <c r="F500" i="12"/>
  <c r="F318" i="12" l="1"/>
  <c r="F314" i="12"/>
  <c r="F87" i="12"/>
  <c r="F51" i="12"/>
  <c r="F47" i="12"/>
  <c r="F21" i="12" l="1"/>
  <c r="F97" i="12" l="1"/>
  <c r="F90" i="12"/>
  <c r="F40" i="12"/>
  <c r="F299" i="12" l="1"/>
  <c r="F478" i="12" l="1"/>
  <c r="F477" i="12"/>
  <c r="F270" i="12" l="1"/>
  <c r="F280" i="12"/>
  <c r="F279" i="12"/>
  <c r="F344" i="12" l="1"/>
  <c r="F342" i="12" s="1"/>
  <c r="F152" i="12" l="1"/>
  <c r="F176" i="12"/>
  <c r="F175" i="12"/>
  <c r="F472" i="12"/>
  <c r="F164" i="12"/>
  <c r="F317" i="12"/>
  <c r="F439" i="12" l="1"/>
  <c r="F438" i="12"/>
  <c r="F440" i="12"/>
  <c r="F208" i="12"/>
  <c r="F135" i="12" l="1"/>
  <c r="F38" i="12" l="1"/>
  <c r="H174" i="12"/>
  <c r="G174" i="12"/>
  <c r="F174" i="12"/>
  <c r="F71" i="12" l="1"/>
  <c r="F107" i="12" l="1"/>
  <c r="F105" i="12"/>
  <c r="F223" i="12" l="1"/>
  <c r="F268" i="12"/>
  <c r="F274" i="12"/>
  <c r="H115" i="12" l="1"/>
  <c r="G115" i="12"/>
  <c r="F115" i="12"/>
  <c r="F298" i="12" l="1"/>
  <c r="F157" i="12" l="1"/>
  <c r="F156" i="12" s="1"/>
  <c r="F69" i="12"/>
  <c r="F352" i="12" l="1"/>
  <c r="H350" i="12" l="1"/>
  <c r="G350" i="12"/>
  <c r="F350" i="12"/>
  <c r="H351" i="12"/>
  <c r="G351" i="12"/>
  <c r="F351" i="12"/>
  <c r="H113" i="12"/>
  <c r="G113" i="12"/>
  <c r="F113" i="12"/>
  <c r="F282" i="12"/>
  <c r="F228" i="12"/>
  <c r="F297" i="12" l="1"/>
  <c r="F374" i="12" l="1"/>
  <c r="F373" i="12"/>
  <c r="F18" i="12" l="1"/>
  <c r="H192" i="12" l="1"/>
  <c r="G192" i="12"/>
  <c r="H161" i="12"/>
  <c r="G161" i="12"/>
  <c r="F161" i="12"/>
  <c r="F266" i="12" l="1"/>
  <c r="G479" i="12" l="1"/>
  <c r="H479" i="12"/>
  <c r="F479" i="12"/>
  <c r="H302" i="12" l="1"/>
  <c r="G302" i="12"/>
  <c r="F302" i="12"/>
  <c r="F341" i="12"/>
  <c r="G151" i="12" l="1"/>
  <c r="H151" i="12"/>
  <c r="F151" i="12"/>
  <c r="H17" i="12" l="1"/>
  <c r="H16" i="12" s="1"/>
  <c r="G17" i="12"/>
  <c r="G16" i="12" s="1"/>
  <c r="F16" i="12"/>
  <c r="H136" i="12"/>
  <c r="G136" i="12"/>
  <c r="F136" i="12"/>
  <c r="F281" i="12"/>
  <c r="G281" i="12"/>
  <c r="H281" i="12"/>
  <c r="H149" i="12" l="1"/>
  <c r="G149" i="12"/>
  <c r="F149" i="12"/>
  <c r="F154" i="12"/>
  <c r="H509" i="12"/>
  <c r="H508" i="12" s="1"/>
  <c r="H507" i="12" s="1"/>
  <c r="H506" i="12" s="1"/>
  <c r="G509" i="12"/>
  <c r="G508" i="12" s="1"/>
  <c r="G507" i="12" s="1"/>
  <c r="G506" i="12" s="1"/>
  <c r="H504" i="12"/>
  <c r="H503" i="12" s="1"/>
  <c r="H502" i="12" s="1"/>
  <c r="G504" i="12"/>
  <c r="G503" i="12" s="1"/>
  <c r="G502" i="12" s="1"/>
  <c r="F504" i="12"/>
  <c r="F503" i="12" s="1"/>
  <c r="F502" i="12" s="1"/>
  <c r="H500" i="12"/>
  <c r="H499" i="12" s="1"/>
  <c r="H498" i="12" s="1"/>
  <c r="G500" i="12"/>
  <c r="G499" i="12" s="1"/>
  <c r="G498" i="12" s="1"/>
  <c r="F499" i="12"/>
  <c r="F498" i="12" s="1"/>
  <c r="H496" i="12"/>
  <c r="H495" i="12" s="1"/>
  <c r="G496" i="12"/>
  <c r="G495" i="12" s="1"/>
  <c r="F496" i="12"/>
  <c r="F495" i="12" s="1"/>
  <c r="H494" i="12"/>
  <c r="H493" i="12" s="1"/>
  <c r="G494" i="12"/>
  <c r="G493" i="12" s="1"/>
  <c r="F493" i="12"/>
  <c r="H491" i="12"/>
  <c r="G491" i="12"/>
  <c r="F491" i="12"/>
  <c r="H490" i="12"/>
  <c r="H489" i="12" s="1"/>
  <c r="G490" i="12"/>
  <c r="G489" i="12" s="1"/>
  <c r="F489" i="12"/>
  <c r="H487" i="12"/>
  <c r="G487" i="12"/>
  <c r="F487" i="12"/>
  <c r="H485" i="12"/>
  <c r="G485" i="12"/>
  <c r="F485" i="12"/>
  <c r="H476" i="12"/>
  <c r="H475" i="12" s="1"/>
  <c r="G476" i="12"/>
  <c r="G475" i="12" s="1"/>
  <c r="F475" i="12"/>
  <c r="H473" i="12"/>
  <c r="G473" i="12"/>
  <c r="F473" i="12"/>
  <c r="H471" i="12"/>
  <c r="G471" i="12"/>
  <c r="F471" i="12"/>
  <c r="H468" i="12"/>
  <c r="G468" i="12"/>
  <c r="F468" i="12"/>
  <c r="H466" i="12"/>
  <c r="G466" i="12"/>
  <c r="F466" i="12"/>
  <c r="H465" i="12"/>
  <c r="G465" i="12"/>
  <c r="F465" i="12"/>
  <c r="H464" i="12"/>
  <c r="G464" i="12"/>
  <c r="F464" i="12"/>
  <c r="H463" i="12"/>
  <c r="G463" i="12"/>
  <c r="H459" i="12"/>
  <c r="G459" i="12"/>
  <c r="F459" i="12"/>
  <c r="H455" i="12"/>
  <c r="G455" i="12"/>
  <c r="F455" i="12"/>
  <c r="H453" i="12"/>
  <c r="G453" i="12"/>
  <c r="F453" i="12"/>
  <c r="H449" i="12"/>
  <c r="H448" i="12" s="1"/>
  <c r="G449" i="12"/>
  <c r="G448" i="12" s="1"/>
  <c r="F449" i="12"/>
  <c r="F448" i="12" s="1"/>
  <c r="H447" i="12"/>
  <c r="H445" i="12" s="1"/>
  <c r="G447" i="12"/>
  <c r="G445" i="12" s="1"/>
  <c r="F447" i="12"/>
  <c r="F445" i="12" s="1"/>
  <c r="H443" i="12"/>
  <c r="G443" i="12"/>
  <c r="F443" i="12"/>
  <c r="H441" i="12"/>
  <c r="G441" i="12"/>
  <c r="F441" i="12"/>
  <c r="H440" i="12"/>
  <c r="H437" i="12" s="1"/>
  <c r="G440" i="12"/>
  <c r="G437" i="12" s="1"/>
  <c r="F437" i="12"/>
  <c r="H435" i="12"/>
  <c r="G435" i="12"/>
  <c r="F435" i="12"/>
  <c r="H434" i="12"/>
  <c r="H433" i="12" s="1"/>
  <c r="G434" i="12"/>
  <c r="G433" i="12" s="1"/>
  <c r="F433" i="12"/>
  <c r="H432" i="12"/>
  <c r="H431" i="12" s="1"/>
  <c r="G432" i="12"/>
  <c r="G431" i="12" s="1"/>
  <c r="F432" i="12"/>
  <c r="F431" i="12" s="1"/>
  <c r="H425" i="12"/>
  <c r="G425" i="12"/>
  <c r="F425" i="12"/>
  <c r="H424" i="12"/>
  <c r="G424" i="12"/>
  <c r="F424" i="12"/>
  <c r="H420" i="12"/>
  <c r="G420" i="12"/>
  <c r="F420" i="12"/>
  <c r="H419" i="12"/>
  <c r="G419" i="12"/>
  <c r="F419" i="12"/>
  <c r="H418" i="12"/>
  <c r="G418" i="12"/>
  <c r="F418" i="12"/>
  <c r="H414" i="12"/>
  <c r="G414" i="12"/>
  <c r="F414" i="12"/>
  <c r="H412" i="12"/>
  <c r="H411" i="12" s="1"/>
  <c r="G412" i="12"/>
  <c r="G411" i="12" s="1"/>
  <c r="F412" i="12"/>
  <c r="F411" i="12" s="1"/>
  <c r="H408" i="12"/>
  <c r="G408" i="12"/>
  <c r="F408" i="12"/>
  <c r="H406" i="12"/>
  <c r="G406" i="12"/>
  <c r="F406" i="12"/>
  <c r="F404" i="12"/>
  <c r="F403" i="12" s="1"/>
  <c r="H403" i="12"/>
  <c r="G403" i="12"/>
  <c r="H402" i="12"/>
  <c r="G402" i="12"/>
  <c r="F402" i="12"/>
  <c r="H401" i="12"/>
  <c r="G401" i="12"/>
  <c r="F401" i="12"/>
  <c r="H397" i="12"/>
  <c r="G397" i="12"/>
  <c r="F397" i="12"/>
  <c r="H396" i="12"/>
  <c r="G396" i="12"/>
  <c r="F396" i="12"/>
  <c r="H395" i="12"/>
  <c r="G395" i="12"/>
  <c r="F395" i="12"/>
  <c r="H392" i="12"/>
  <c r="G392" i="12"/>
  <c r="F392" i="12"/>
  <c r="H391" i="12"/>
  <c r="G391" i="12"/>
  <c r="F391" i="12"/>
  <c r="H389" i="12"/>
  <c r="G389" i="12"/>
  <c r="F389" i="12"/>
  <c r="H388" i="12"/>
  <c r="G388" i="12"/>
  <c r="F388" i="12"/>
  <c r="H386" i="12"/>
  <c r="G386" i="12"/>
  <c r="F386" i="12"/>
  <c r="H385" i="12"/>
  <c r="G385" i="12"/>
  <c r="F385" i="12"/>
  <c r="H383" i="12"/>
  <c r="G383" i="12"/>
  <c r="F383" i="12"/>
  <c r="H382" i="12"/>
  <c r="G382" i="12"/>
  <c r="F382" i="12"/>
  <c r="H378" i="12"/>
  <c r="G378" i="12"/>
  <c r="F378" i="12"/>
  <c r="H376" i="12"/>
  <c r="H375" i="12" s="1"/>
  <c r="G376" i="12"/>
  <c r="G375" i="12" s="1"/>
  <c r="F376" i="12"/>
  <c r="F375" i="12" s="1"/>
  <c r="H374" i="12"/>
  <c r="H372" i="12" s="1"/>
  <c r="G374" i="12"/>
  <c r="G372" i="12" s="1"/>
  <c r="F372" i="12"/>
  <c r="H369" i="12"/>
  <c r="G369" i="12"/>
  <c r="F369" i="12"/>
  <c r="H367" i="12"/>
  <c r="G367" i="12"/>
  <c r="F367" i="12"/>
  <c r="H366" i="12"/>
  <c r="H364" i="12" s="1"/>
  <c r="G366" i="12"/>
  <c r="G364" i="12" s="1"/>
  <c r="F366" i="12"/>
  <c r="F364" i="12" s="1"/>
  <c r="H362" i="12"/>
  <c r="G362" i="12"/>
  <c r="F362" i="12"/>
  <c r="H360" i="12"/>
  <c r="G360" i="12"/>
  <c r="F360" i="12"/>
  <c r="H358" i="12"/>
  <c r="G358" i="12"/>
  <c r="F358" i="12"/>
  <c r="H357" i="12"/>
  <c r="G357" i="12"/>
  <c r="F357" i="12"/>
  <c r="H356" i="12"/>
  <c r="G356" i="12"/>
  <c r="F356" i="12"/>
  <c r="H353" i="12"/>
  <c r="G353" i="12"/>
  <c r="F353" i="12"/>
  <c r="H349" i="12"/>
  <c r="G349" i="12"/>
  <c r="F349" i="12"/>
  <c r="H347" i="12"/>
  <c r="G347" i="12"/>
  <c r="F347" i="12"/>
  <c r="H345" i="12"/>
  <c r="G345" i="12"/>
  <c r="F345" i="12"/>
  <c r="H344" i="12"/>
  <c r="H342" i="12" s="1"/>
  <c r="G344" i="12"/>
  <c r="G342" i="12" s="1"/>
  <c r="H340" i="12"/>
  <c r="G340" i="12"/>
  <c r="F340" i="12"/>
  <c r="H337" i="12"/>
  <c r="G337" i="12"/>
  <c r="F337" i="12"/>
  <c r="F335" i="12"/>
  <c r="F334" i="12" s="1"/>
  <c r="H334" i="12"/>
  <c r="G334" i="12"/>
  <c r="H331" i="12"/>
  <c r="G331" i="12"/>
  <c r="H330" i="12"/>
  <c r="G330" i="12"/>
  <c r="H328" i="12"/>
  <c r="H327" i="12" s="1"/>
  <c r="G328" i="12"/>
  <c r="G327" i="12" s="1"/>
  <c r="F327" i="12"/>
  <c r="H323" i="12"/>
  <c r="H322" i="12" s="1"/>
  <c r="G323" i="12"/>
  <c r="G322" i="12" s="1"/>
  <c r="F323" i="12"/>
  <c r="F322" i="12" s="1"/>
  <c r="H318" i="12"/>
  <c r="H317" i="12" s="1"/>
  <c r="G318" i="12"/>
  <c r="G317" i="12" s="1"/>
  <c r="H314" i="12"/>
  <c r="H313" i="12" s="1"/>
  <c r="G314" i="12"/>
  <c r="G313" i="12" s="1"/>
  <c r="F313" i="12"/>
  <c r="H309" i="12"/>
  <c r="G309" i="12"/>
  <c r="F309" i="12"/>
  <c r="H307" i="12"/>
  <c r="G307" i="12"/>
  <c r="F307" i="12"/>
  <c r="H304" i="12"/>
  <c r="G304" i="12"/>
  <c r="F304" i="12"/>
  <c r="H300" i="12"/>
  <c r="G300" i="12"/>
  <c r="F300" i="12"/>
  <c r="H297" i="12"/>
  <c r="G297" i="12"/>
  <c r="H293" i="12"/>
  <c r="G293" i="12"/>
  <c r="H291" i="12"/>
  <c r="G291" i="12"/>
  <c r="H289" i="12"/>
  <c r="H288" i="12" s="1"/>
  <c r="G289" i="12"/>
  <c r="G288" i="12" s="1"/>
  <c r="F288" i="12"/>
  <c r="H286" i="12"/>
  <c r="H285" i="12" s="1"/>
  <c r="G286" i="12"/>
  <c r="G285" i="12" s="1"/>
  <c r="F285" i="12"/>
  <c r="H278" i="12"/>
  <c r="G278" i="12"/>
  <c r="F278" i="12"/>
  <c r="H277" i="12"/>
  <c r="H276" i="12" s="1"/>
  <c r="G277" i="12"/>
  <c r="G276" i="12" s="1"/>
  <c r="F276" i="12"/>
  <c r="H272" i="12"/>
  <c r="G272" i="12"/>
  <c r="F272" i="12"/>
  <c r="H269" i="12"/>
  <c r="G269" i="12"/>
  <c r="F269" i="12"/>
  <c r="H267" i="12"/>
  <c r="G267" i="12"/>
  <c r="F267" i="12"/>
  <c r="H266" i="12"/>
  <c r="G266" i="12"/>
  <c r="H265" i="12"/>
  <c r="G265" i="12"/>
  <c r="H263" i="12"/>
  <c r="H261" i="12" s="1"/>
  <c r="G263" i="12"/>
  <c r="G261" i="12" s="1"/>
  <c r="F261" i="12"/>
  <c r="H259" i="12"/>
  <c r="G259" i="12"/>
  <c r="F259" i="12"/>
  <c r="H256" i="12"/>
  <c r="H255" i="12" s="1"/>
  <c r="G256" i="12"/>
  <c r="G255" i="12" s="1"/>
  <c r="F255" i="12"/>
  <c r="F254" i="12"/>
  <c r="F253" i="12" s="1"/>
  <c r="H253" i="12"/>
  <c r="G253" i="12"/>
  <c r="H251" i="12"/>
  <c r="H250" i="12" s="1"/>
  <c r="G251" i="12"/>
  <c r="G250" i="12" s="1"/>
  <c r="F250" i="12"/>
  <c r="H248" i="12"/>
  <c r="G248" i="12"/>
  <c r="F248" i="12"/>
  <c r="H247" i="12"/>
  <c r="H245" i="12" s="1"/>
  <c r="G247" i="12"/>
  <c r="G245" i="12" s="1"/>
  <c r="F245" i="12"/>
  <c r="F244" i="12"/>
  <c r="F243" i="12" s="1"/>
  <c r="H243" i="12"/>
  <c r="G243" i="12"/>
  <c r="H241" i="12"/>
  <c r="G241" i="12"/>
  <c r="F241" i="12"/>
  <c r="H240" i="12"/>
  <c r="H239" i="12" s="1"/>
  <c r="G240" i="12"/>
  <c r="G239" i="12" s="1"/>
  <c r="F240" i="12"/>
  <c r="F239" i="12" s="1"/>
  <c r="H235" i="12"/>
  <c r="G235" i="12"/>
  <c r="F235" i="12"/>
  <c r="H234" i="12"/>
  <c r="H232" i="12" s="1"/>
  <c r="G234" i="12"/>
  <c r="G232" i="12" s="1"/>
  <c r="F234" i="12"/>
  <c r="F232" i="12" s="1"/>
  <c r="H231" i="12"/>
  <c r="G231" i="12"/>
  <c r="F231" i="12"/>
  <c r="H230" i="12"/>
  <c r="G230" i="12"/>
  <c r="F230" i="12"/>
  <c r="H228" i="12"/>
  <c r="G228" i="12"/>
  <c r="H227" i="12"/>
  <c r="G227" i="12"/>
  <c r="F227" i="12"/>
  <c r="H224" i="12"/>
  <c r="H222" i="12" s="1"/>
  <c r="G224" i="12"/>
  <c r="G222" i="12" s="1"/>
  <c r="F222" i="12"/>
  <c r="H220" i="12"/>
  <c r="G220" i="12"/>
  <c r="F220" i="12"/>
  <c r="H218" i="12"/>
  <c r="G218" i="12"/>
  <c r="F218" i="12"/>
  <c r="H217" i="12"/>
  <c r="G217" i="12"/>
  <c r="H216" i="12"/>
  <c r="G216" i="12"/>
  <c r="H215" i="12"/>
  <c r="G215" i="12"/>
  <c r="H213" i="12"/>
  <c r="G213" i="12"/>
  <c r="F213" i="12"/>
  <c r="H212" i="12"/>
  <c r="G212" i="12"/>
  <c r="H211" i="12"/>
  <c r="G211" i="12"/>
  <c r="H207" i="12"/>
  <c r="G207" i="12"/>
  <c r="H206" i="12"/>
  <c r="G206" i="12"/>
  <c r="H205" i="12"/>
  <c r="G205" i="12"/>
  <c r="H203" i="12"/>
  <c r="G203" i="12"/>
  <c r="H202" i="12"/>
  <c r="G202" i="12"/>
  <c r="H201" i="12"/>
  <c r="G201" i="12"/>
  <c r="H198" i="12"/>
  <c r="G198" i="12"/>
  <c r="F198" i="12"/>
  <c r="H195" i="12"/>
  <c r="H194" i="12" s="1"/>
  <c r="G195" i="12"/>
  <c r="G194" i="12" s="1"/>
  <c r="F194" i="12"/>
  <c r="H191" i="12"/>
  <c r="H190" i="12" s="1"/>
  <c r="G191" i="12"/>
  <c r="G190" i="12" s="1"/>
  <c r="F190" i="12"/>
  <c r="H189" i="12"/>
  <c r="H188" i="12" s="1"/>
  <c r="G189" i="12"/>
  <c r="G188" i="12" s="1"/>
  <c r="F188" i="12"/>
  <c r="H183" i="12"/>
  <c r="G183" i="12"/>
  <c r="F183" i="12"/>
  <c r="H181" i="12"/>
  <c r="G181" i="12"/>
  <c r="F181" i="12"/>
  <c r="H179" i="12"/>
  <c r="G179" i="12"/>
  <c r="F179" i="12"/>
  <c r="H177" i="12"/>
  <c r="G177" i="12"/>
  <c r="F177" i="12"/>
  <c r="H172" i="12"/>
  <c r="G172" i="12"/>
  <c r="F172" i="12"/>
  <c r="H169" i="12"/>
  <c r="G169" i="12"/>
  <c r="F169" i="12"/>
  <c r="H167" i="12"/>
  <c r="G167" i="12"/>
  <c r="F167" i="12"/>
  <c r="F165" i="12"/>
  <c r="H165" i="12"/>
  <c r="G165" i="12"/>
  <c r="H163" i="12"/>
  <c r="G163" i="12"/>
  <c r="F163" i="12"/>
  <c r="H159" i="12"/>
  <c r="G159" i="12"/>
  <c r="F159" i="12"/>
  <c r="H156" i="12"/>
  <c r="G156" i="12"/>
  <c r="H154" i="12"/>
  <c r="G154" i="12"/>
  <c r="H146" i="12"/>
  <c r="G146" i="12"/>
  <c r="F146" i="12"/>
  <c r="H144" i="12"/>
  <c r="G144" i="12"/>
  <c r="F144" i="12"/>
  <c r="H141" i="12"/>
  <c r="G141" i="12"/>
  <c r="H139" i="12"/>
  <c r="H138" i="12" s="1"/>
  <c r="G139" i="12"/>
  <c r="G138" i="12" s="1"/>
  <c r="H134" i="12"/>
  <c r="G134" i="12"/>
  <c r="F134" i="12"/>
  <c r="H130" i="12"/>
  <c r="G130" i="12"/>
  <c r="F130" i="12"/>
  <c r="H128" i="12"/>
  <c r="G128" i="12"/>
  <c r="F128" i="12"/>
  <c r="H126" i="12"/>
  <c r="G126" i="12"/>
  <c r="F126" i="12"/>
  <c r="H124" i="12"/>
  <c r="G124" i="12"/>
  <c r="F124" i="12"/>
  <c r="H121" i="12"/>
  <c r="G121" i="12"/>
  <c r="F121" i="12"/>
  <c r="H119" i="12"/>
  <c r="G119" i="12"/>
  <c r="F119" i="12"/>
  <c r="H118" i="12"/>
  <c r="H117" i="12" s="1"/>
  <c r="G118" i="12"/>
  <c r="G117" i="12" s="1"/>
  <c r="F117" i="12"/>
  <c r="H110" i="12"/>
  <c r="H109" i="12" s="1"/>
  <c r="G110" i="12"/>
  <c r="G109" i="12" s="1"/>
  <c r="F110" i="12"/>
  <c r="F109" i="12" s="1"/>
  <c r="H106" i="12"/>
  <c r="G106" i="12"/>
  <c r="F106" i="12"/>
  <c r="H104" i="12"/>
  <c r="G104" i="12"/>
  <c r="F104" i="12"/>
  <c r="H102" i="12"/>
  <c r="G102" i="12"/>
  <c r="F102" i="12"/>
  <c r="H101" i="12"/>
  <c r="H100" i="12" s="1"/>
  <c r="G101" i="12"/>
  <c r="G100" i="12" s="1"/>
  <c r="F100" i="12"/>
  <c r="H98" i="12"/>
  <c r="G98" i="12"/>
  <c r="H97" i="12"/>
  <c r="G97" i="12"/>
  <c r="H92" i="12"/>
  <c r="G92" i="12"/>
  <c r="F92" i="12"/>
  <c r="H91" i="12"/>
  <c r="G91" i="12"/>
  <c r="H90" i="12"/>
  <c r="G90" i="12"/>
  <c r="H87" i="12"/>
  <c r="H86" i="12" s="1"/>
  <c r="G87" i="12"/>
  <c r="G86" i="12" s="1"/>
  <c r="F86" i="12"/>
  <c r="H83" i="12"/>
  <c r="G83" i="12"/>
  <c r="F83" i="12"/>
  <c r="H81" i="12"/>
  <c r="G81" i="12"/>
  <c r="F81" i="12"/>
  <c r="H78" i="12"/>
  <c r="G78" i="12"/>
  <c r="F78" i="12"/>
  <c r="H76" i="12"/>
  <c r="G76" i="12"/>
  <c r="F76" i="12"/>
  <c r="H74" i="12"/>
  <c r="G74" i="12"/>
  <c r="F74" i="12"/>
  <c r="H72" i="12"/>
  <c r="G72" i="12"/>
  <c r="F72" i="12"/>
  <c r="H71" i="12"/>
  <c r="H70" i="12" s="1"/>
  <c r="G71" i="12"/>
  <c r="G70" i="12" s="1"/>
  <c r="F70" i="12"/>
  <c r="H68" i="12"/>
  <c r="G68" i="12"/>
  <c r="F68" i="12"/>
  <c r="H66" i="12"/>
  <c r="G66" i="12"/>
  <c r="F66" i="12"/>
  <c r="H65" i="12"/>
  <c r="H64" i="12" s="1"/>
  <c r="G65" i="12"/>
  <c r="G64" i="12" s="1"/>
  <c r="F64" i="12"/>
  <c r="H62" i="12"/>
  <c r="G62" i="12"/>
  <c r="F62" i="12"/>
  <c r="H60" i="12"/>
  <c r="G60" i="12"/>
  <c r="F60" i="12"/>
  <c r="H59" i="12"/>
  <c r="H58" i="12" s="1"/>
  <c r="G59" i="12"/>
  <c r="G58" i="12" s="1"/>
  <c r="F58" i="12"/>
  <c r="H57" i="12"/>
  <c r="H56" i="12" s="1"/>
  <c r="G57" i="12"/>
  <c r="G56" i="12" s="1"/>
  <c r="F56" i="12"/>
  <c r="H54" i="12"/>
  <c r="H53" i="12" s="1"/>
  <c r="H52" i="12" s="1"/>
  <c r="G54" i="12"/>
  <c r="G53" i="12" s="1"/>
  <c r="G52" i="12" s="1"/>
  <c r="F54" i="12"/>
  <c r="F53" i="12" s="1"/>
  <c r="F52" i="12" s="1"/>
  <c r="H51" i="12"/>
  <c r="H50" i="12" s="1"/>
  <c r="G51" i="12"/>
  <c r="G50" i="12" s="1"/>
  <c r="F50" i="12"/>
  <c r="H49" i="12"/>
  <c r="G49" i="12"/>
  <c r="F49" i="12"/>
  <c r="H48" i="12"/>
  <c r="G48" i="12"/>
  <c r="H47" i="12"/>
  <c r="G47" i="12"/>
  <c r="H43" i="12"/>
  <c r="H42" i="12" s="1"/>
  <c r="G43" i="12"/>
  <c r="G42" i="12" s="1"/>
  <c r="F43" i="12"/>
  <c r="F42" i="12" s="1"/>
  <c r="H41" i="12"/>
  <c r="G41" i="12"/>
  <c r="H40" i="12"/>
  <c r="G40" i="12"/>
  <c r="H38" i="12"/>
  <c r="G38" i="12"/>
  <c r="H37" i="12"/>
  <c r="G37" i="12"/>
  <c r="H36" i="12"/>
  <c r="G36" i="12"/>
  <c r="H33" i="12"/>
  <c r="H32" i="12" s="1"/>
  <c r="G33" i="12"/>
  <c r="G32" i="12" s="1"/>
  <c r="F33" i="12"/>
  <c r="F32" i="12" s="1"/>
  <c r="H31" i="12"/>
  <c r="G31" i="12"/>
  <c r="F31" i="12"/>
  <c r="H30" i="12"/>
  <c r="G30" i="12"/>
  <c r="H27" i="12"/>
  <c r="H26" i="12" s="1"/>
  <c r="G27" i="12"/>
  <c r="G26" i="12" s="1"/>
  <c r="F26" i="12"/>
  <c r="H25" i="12"/>
  <c r="H24" i="12" s="1"/>
  <c r="G25" i="12"/>
  <c r="G24" i="12" s="1"/>
  <c r="F24" i="12"/>
  <c r="H22" i="12"/>
  <c r="G22" i="12"/>
  <c r="H21" i="12"/>
  <c r="G21" i="12"/>
  <c r="H15" i="12"/>
  <c r="G15" i="12"/>
  <c r="F15" i="12"/>
  <c r="H171" i="12" l="1"/>
  <c r="F171" i="12"/>
  <c r="G171" i="12"/>
  <c r="F112" i="12"/>
  <c r="G112" i="12"/>
  <c r="H112" i="12"/>
  <c r="G148" i="12"/>
  <c r="H148" i="12"/>
  <c r="F148" i="12"/>
  <c r="F210" i="12"/>
  <c r="F296" i="12"/>
  <c r="H296" i="12"/>
  <c r="H133" i="12"/>
  <c r="G296" i="12"/>
  <c r="F355" i="12"/>
  <c r="H89" i="12"/>
  <c r="H55" i="12" s="1"/>
  <c r="F329" i="12"/>
  <c r="F326" i="12" s="1"/>
  <c r="G355" i="12"/>
  <c r="H384" i="12"/>
  <c r="F394" i="12"/>
  <c r="F430" i="12"/>
  <c r="H462" i="12"/>
  <c r="H458" i="12" s="1"/>
  <c r="G35" i="12"/>
  <c r="G133" i="12"/>
  <c r="H430" i="12"/>
  <c r="G210" i="12"/>
  <c r="F214" i="12"/>
  <c r="F229" i="12"/>
  <c r="F96" i="12"/>
  <c r="F95" i="12" s="1"/>
  <c r="F94" i="12" s="1"/>
  <c r="H123" i="12"/>
  <c r="G264" i="12"/>
  <c r="H312" i="12"/>
  <c r="G430" i="12"/>
  <c r="F423" i="12"/>
  <c r="H226" i="12"/>
  <c r="G96" i="12"/>
  <c r="G95" i="12" s="1"/>
  <c r="G94" i="12" s="1"/>
  <c r="H187" i="12"/>
  <c r="H381" i="12"/>
  <c r="H20" i="12"/>
  <c r="H19" i="12" s="1"/>
  <c r="H29" i="12"/>
  <c r="H39" i="12"/>
  <c r="G252" i="12"/>
  <c r="F264" i="12"/>
  <c r="G290" i="12"/>
  <c r="G312" i="12"/>
  <c r="G394" i="12"/>
  <c r="H417" i="12"/>
  <c r="F20" i="12"/>
  <c r="F19" i="12" s="1"/>
  <c r="G39" i="12"/>
  <c r="F141" i="12"/>
  <c r="F252" i="12"/>
  <c r="H329" i="12"/>
  <c r="H326" i="12" s="1"/>
  <c r="G384" i="12"/>
  <c r="F390" i="12"/>
  <c r="H400" i="12"/>
  <c r="F200" i="12"/>
  <c r="H200" i="12"/>
  <c r="G229" i="12"/>
  <c r="H252" i="12"/>
  <c r="F387" i="12"/>
  <c r="F187" i="12"/>
  <c r="G423" i="12"/>
  <c r="F29" i="12"/>
  <c r="F39" i="12"/>
  <c r="F226" i="12"/>
  <c r="H264" i="12"/>
  <c r="G387" i="12"/>
  <c r="F484" i="12"/>
  <c r="F483" i="12" s="1"/>
  <c r="G89" i="12"/>
  <c r="G55" i="12" s="1"/>
  <c r="G200" i="12"/>
  <c r="F204" i="12"/>
  <c r="G204" i="12"/>
  <c r="H204" i="12"/>
  <c r="H210" i="12"/>
  <c r="H229" i="12"/>
  <c r="F290" i="12"/>
  <c r="H355" i="12"/>
  <c r="F381" i="12"/>
  <c r="G381" i="12"/>
  <c r="H387" i="12"/>
  <c r="H394" i="12"/>
  <c r="F400" i="12"/>
  <c r="G400" i="12"/>
  <c r="H423" i="12"/>
  <c r="F462" i="12"/>
  <c r="F458" i="12" s="1"/>
  <c r="G462" i="12"/>
  <c r="G458" i="12" s="1"/>
  <c r="F46" i="12"/>
  <c r="F45" i="12" s="1"/>
  <c r="H46" i="12"/>
  <c r="H45" i="12" s="1"/>
  <c r="G123" i="12"/>
  <c r="G214" i="12"/>
  <c r="H238" i="12"/>
  <c r="G20" i="12"/>
  <c r="G19" i="12" s="1"/>
  <c r="G29" i="12"/>
  <c r="H35" i="12"/>
  <c r="F35" i="12"/>
  <c r="G46" i="12"/>
  <c r="G45" i="12" s="1"/>
  <c r="F138" i="12"/>
  <c r="H214" i="12"/>
  <c r="G226" i="12"/>
  <c r="F238" i="12"/>
  <c r="H290" i="12"/>
  <c r="F312" i="12"/>
  <c r="G329" i="12"/>
  <c r="G326" i="12" s="1"/>
  <c r="F384" i="12"/>
  <c r="G390" i="12"/>
  <c r="H390" i="12"/>
  <c r="F417" i="12"/>
  <c r="G417" i="12"/>
  <c r="G238" i="12"/>
  <c r="F89" i="12"/>
  <c r="F55" i="12" s="1"/>
  <c r="F123" i="12"/>
  <c r="G187" i="12"/>
  <c r="G484" i="12"/>
  <c r="G483" i="12" s="1"/>
  <c r="H96" i="12"/>
  <c r="H95" i="12" s="1"/>
  <c r="H94" i="12" s="1"/>
  <c r="H484" i="12"/>
  <c r="H483" i="12" s="1"/>
  <c r="H457" i="11"/>
  <c r="G457" i="11"/>
  <c r="F457" i="11"/>
  <c r="H453" i="11"/>
  <c r="G453" i="11"/>
  <c r="F453" i="11"/>
  <c r="H254" i="11"/>
  <c r="G254" i="11"/>
  <c r="F254" i="11"/>
  <c r="H228" i="11"/>
  <c r="G228" i="11"/>
  <c r="F228" i="11"/>
  <c r="H290" i="11"/>
  <c r="G290" i="11"/>
  <c r="F290" i="11"/>
  <c r="H224" i="11"/>
  <c r="G224" i="11"/>
  <c r="F224" i="11"/>
  <c r="H184" i="11"/>
  <c r="G184" i="11"/>
  <c r="F184" i="11"/>
  <c r="H183" i="11"/>
  <c r="G183" i="11"/>
  <c r="F183" i="11"/>
  <c r="H182" i="11"/>
  <c r="G182" i="11"/>
  <c r="F182" i="11"/>
  <c r="H268" i="11"/>
  <c r="G268" i="11"/>
  <c r="F268" i="11"/>
  <c r="H266" i="11"/>
  <c r="G266" i="11"/>
  <c r="F266" i="11"/>
  <c r="H264" i="11"/>
  <c r="G264" i="11"/>
  <c r="F264" i="11"/>
  <c r="F302" i="11"/>
  <c r="H261" i="11"/>
  <c r="G261" i="11"/>
  <c r="F261" i="11"/>
  <c r="H42" i="11"/>
  <c r="G42" i="11"/>
  <c r="F42" i="11"/>
  <c r="H46" i="11"/>
  <c r="G46" i="11"/>
  <c r="F46" i="11"/>
  <c r="H22" i="11"/>
  <c r="H21" i="11" s="1"/>
  <c r="G22" i="11"/>
  <c r="G21" i="11" s="1"/>
  <c r="F22" i="11"/>
  <c r="F21" i="11" s="1"/>
  <c r="H20" i="11"/>
  <c r="H19" i="11" s="1"/>
  <c r="G20" i="11"/>
  <c r="F20" i="11"/>
  <c r="F19" i="11" s="1"/>
  <c r="G19" i="11"/>
  <c r="H17" i="11"/>
  <c r="G17" i="11"/>
  <c r="F17" i="11"/>
  <c r="H16" i="11"/>
  <c r="G16" i="11"/>
  <c r="F16" i="11"/>
  <c r="H31" i="11"/>
  <c r="G31" i="11"/>
  <c r="F31" i="11"/>
  <c r="H13" i="11"/>
  <c r="G13" i="11"/>
  <c r="F13" i="11"/>
  <c r="H167" i="11"/>
  <c r="G167" i="11"/>
  <c r="F167" i="11"/>
  <c r="H172" i="11"/>
  <c r="G172" i="11"/>
  <c r="F172" i="11"/>
  <c r="H96" i="11"/>
  <c r="G96" i="11"/>
  <c r="F96" i="11"/>
  <c r="H92" i="11"/>
  <c r="G92" i="11"/>
  <c r="F92" i="11"/>
  <c r="H85" i="11"/>
  <c r="G85" i="11"/>
  <c r="F85" i="11"/>
  <c r="H52" i="11"/>
  <c r="G52" i="11"/>
  <c r="F52" i="11"/>
  <c r="H60" i="11"/>
  <c r="G60" i="11"/>
  <c r="F60" i="11"/>
  <c r="H35" i="11"/>
  <c r="G35" i="11"/>
  <c r="F35" i="11"/>
  <c r="H82" i="11"/>
  <c r="G82" i="11"/>
  <c r="F82" i="11"/>
  <c r="H169" i="11"/>
  <c r="G169" i="11"/>
  <c r="F169" i="11"/>
  <c r="H286" i="11"/>
  <c r="G286" i="11"/>
  <c r="F286" i="11"/>
  <c r="H463" i="11"/>
  <c r="G463" i="11"/>
  <c r="F463" i="11"/>
  <c r="F108" i="12" l="1"/>
  <c r="G295" i="12"/>
  <c r="H295" i="12"/>
  <c r="H339" i="12"/>
  <c r="H321" i="12" s="1"/>
  <c r="G339" i="12"/>
  <c r="G321" i="12" s="1"/>
  <c r="F339" i="12"/>
  <c r="F321" i="12" s="1"/>
  <c r="H197" i="12"/>
  <c r="F28" i="12"/>
  <c r="F14" i="12" s="1"/>
  <c r="F133" i="12"/>
  <c r="F132" i="12" s="1"/>
  <c r="H258" i="12"/>
  <c r="G28" i="12"/>
  <c r="G14" i="12" s="1"/>
  <c r="H28" i="12"/>
  <c r="H14" i="12" s="1"/>
  <c r="G258" i="12"/>
  <c r="F258" i="12"/>
  <c r="H108" i="12"/>
  <c r="F209" i="12"/>
  <c r="F197" i="12"/>
  <c r="G209" i="12"/>
  <c r="H132" i="12"/>
  <c r="H209" i="12"/>
  <c r="G197" i="12"/>
  <c r="G108" i="12"/>
  <c r="F295" i="12"/>
  <c r="G132" i="12"/>
  <c r="H66" i="11"/>
  <c r="G66" i="11"/>
  <c r="H196" i="12" l="1"/>
  <c r="H510" i="12" s="1"/>
  <c r="H512" i="12" s="1"/>
  <c r="F196" i="12"/>
  <c r="F510" i="12" s="1"/>
  <c r="F512" i="12" s="1"/>
  <c r="G196" i="12"/>
  <c r="G510" i="12" s="1"/>
  <c r="H472" i="11"/>
  <c r="G472" i="11"/>
  <c r="H515" i="12" l="1"/>
  <c r="G515" i="12"/>
  <c r="G512" i="12"/>
  <c r="F515" i="12"/>
  <c r="H125" i="11"/>
  <c r="G125" i="11"/>
  <c r="F125" i="11"/>
  <c r="F129" i="11" l="1"/>
  <c r="F146" i="11" l="1"/>
  <c r="H146" i="11"/>
  <c r="G146" i="11"/>
  <c r="F149" i="11" l="1"/>
  <c r="G217" i="11" l="1"/>
  <c r="G216" i="11" s="1"/>
  <c r="H217" i="11"/>
  <c r="H216" i="11" s="1"/>
  <c r="F217" i="11"/>
  <c r="F216" i="11" s="1"/>
  <c r="G208" i="11"/>
  <c r="H208" i="11"/>
  <c r="F208" i="11"/>
  <c r="H207" i="11"/>
  <c r="G207" i="11"/>
  <c r="G206" i="11" s="1"/>
  <c r="F207" i="11"/>
  <c r="F206" i="11" l="1"/>
  <c r="H206" i="11"/>
  <c r="H440" i="11"/>
  <c r="G440" i="11"/>
  <c r="F440" i="11"/>
  <c r="F231" i="11"/>
  <c r="F230" i="11" s="1"/>
  <c r="H230" i="11"/>
  <c r="G230" i="11"/>
  <c r="H301" i="11"/>
  <c r="G301" i="11"/>
  <c r="F301" i="11"/>
  <c r="F300" i="11" s="1"/>
  <c r="H299" i="11"/>
  <c r="G299" i="11"/>
  <c r="F299" i="11"/>
  <c r="H387" i="11"/>
  <c r="G387" i="11"/>
  <c r="F387" i="11"/>
  <c r="H386" i="11"/>
  <c r="G386" i="11"/>
  <c r="F386" i="11"/>
  <c r="H416" i="11"/>
  <c r="H415" i="11" s="1"/>
  <c r="G416" i="11"/>
  <c r="G415" i="11" s="1"/>
  <c r="F416" i="11"/>
  <c r="F415" i="11" s="1"/>
  <c r="H417" i="11"/>
  <c r="G417" i="11"/>
  <c r="F417" i="11"/>
  <c r="H414" i="11"/>
  <c r="G414" i="11"/>
  <c r="F414" i="11"/>
  <c r="H342" i="11"/>
  <c r="G342" i="11"/>
  <c r="F342" i="11"/>
  <c r="H401" i="11"/>
  <c r="H400" i="11" s="1"/>
  <c r="G401" i="11"/>
  <c r="G400" i="11" s="1"/>
  <c r="F401" i="11"/>
  <c r="F400" i="11" s="1"/>
  <c r="H399" i="11"/>
  <c r="G399" i="11"/>
  <c r="F399" i="11"/>
  <c r="H240" i="11"/>
  <c r="H238" i="11" s="1"/>
  <c r="G240" i="11"/>
  <c r="G238" i="11" s="1"/>
  <c r="F240" i="11"/>
  <c r="F238" i="11" s="1"/>
  <c r="H211" i="11"/>
  <c r="H209" i="11" s="1"/>
  <c r="G211" i="11"/>
  <c r="G209" i="11" s="1"/>
  <c r="F211" i="11"/>
  <c r="F209" i="11" s="1"/>
  <c r="H242" i="11"/>
  <c r="G242" i="11"/>
  <c r="F242" i="11"/>
  <c r="H194" i="11"/>
  <c r="G194" i="11"/>
  <c r="F194" i="11"/>
  <c r="H193" i="11"/>
  <c r="G193" i="11"/>
  <c r="F193" i="11"/>
  <c r="H192" i="11"/>
  <c r="G192" i="11"/>
  <c r="F192" i="11"/>
  <c r="H189" i="11"/>
  <c r="G189" i="11"/>
  <c r="F189" i="11"/>
  <c r="H188" i="11"/>
  <c r="G188" i="11"/>
  <c r="F188" i="11"/>
  <c r="H180" i="11"/>
  <c r="G180" i="11"/>
  <c r="F180" i="11"/>
  <c r="H179" i="11"/>
  <c r="G179" i="11"/>
  <c r="F179" i="11"/>
  <c r="H178" i="11"/>
  <c r="G178" i="11"/>
  <c r="F178" i="11"/>
  <c r="H315" i="11"/>
  <c r="G315" i="11"/>
  <c r="F315" i="11"/>
  <c r="H314" i="11"/>
  <c r="G314" i="11"/>
  <c r="F314" i="11"/>
  <c r="H274" i="11" l="1"/>
  <c r="G274" i="11"/>
  <c r="F274" i="11"/>
  <c r="F221" i="11"/>
  <c r="F220" i="11" s="1"/>
  <c r="H220" i="11"/>
  <c r="G220" i="11"/>
  <c r="F141" i="11" l="1"/>
  <c r="H155" i="11"/>
  <c r="G155" i="11"/>
  <c r="F155" i="11"/>
  <c r="H38" i="11" l="1"/>
  <c r="H37" i="11" s="1"/>
  <c r="G38" i="11"/>
  <c r="G37" i="11" s="1"/>
  <c r="F38" i="11"/>
  <c r="F37" i="11" s="1"/>
  <c r="H25" i="11"/>
  <c r="G25" i="11"/>
  <c r="F25" i="11"/>
  <c r="H49" i="11" l="1"/>
  <c r="G49" i="11"/>
  <c r="F49" i="11"/>
  <c r="H471" i="11" l="1"/>
  <c r="H470" i="11" s="1"/>
  <c r="H469" i="11" s="1"/>
  <c r="G471" i="11"/>
  <c r="G470" i="11" s="1"/>
  <c r="G469" i="11" s="1"/>
  <c r="H467" i="11"/>
  <c r="H466" i="11" s="1"/>
  <c r="H465" i="11" s="1"/>
  <c r="G467" i="11"/>
  <c r="G466" i="11" s="1"/>
  <c r="G465" i="11" s="1"/>
  <c r="F467" i="11"/>
  <c r="F466" i="11" s="1"/>
  <c r="F465" i="11" s="1"/>
  <c r="H462" i="11"/>
  <c r="H461" i="11" s="1"/>
  <c r="G462" i="11"/>
  <c r="G461" i="11" s="1"/>
  <c r="F462" i="11"/>
  <c r="F461" i="11" s="1"/>
  <c r="H459" i="11"/>
  <c r="H458" i="11" s="1"/>
  <c r="G459" i="11"/>
  <c r="G458" i="11" s="1"/>
  <c r="F459" i="11"/>
  <c r="F458" i="11" s="1"/>
  <c r="H456" i="11"/>
  <c r="G456" i="11"/>
  <c r="F456" i="11"/>
  <c r="H454" i="11"/>
  <c r="G454" i="11"/>
  <c r="F454" i="11"/>
  <c r="H452" i="11"/>
  <c r="G452" i="11"/>
  <c r="F452" i="11"/>
  <c r="H450" i="11"/>
  <c r="G450" i="11"/>
  <c r="F450" i="11"/>
  <c r="H448" i="11"/>
  <c r="G448" i="11"/>
  <c r="F448" i="11"/>
  <c r="H443" i="11"/>
  <c r="G443" i="11"/>
  <c r="F443" i="11"/>
  <c r="H439" i="11"/>
  <c r="G439" i="11"/>
  <c r="F439" i="11"/>
  <c r="H437" i="11"/>
  <c r="G437" i="11"/>
  <c r="F437" i="11"/>
  <c r="H435" i="11"/>
  <c r="G435" i="11"/>
  <c r="F435" i="11"/>
  <c r="H432" i="11"/>
  <c r="G432" i="11"/>
  <c r="F432" i="11"/>
  <c r="H430" i="11"/>
  <c r="G430" i="11"/>
  <c r="F430" i="11"/>
  <c r="H429" i="11"/>
  <c r="G429" i="11"/>
  <c r="F429" i="11"/>
  <c r="H428" i="11"/>
  <c r="G428" i="11"/>
  <c r="F428" i="11"/>
  <c r="H427" i="11"/>
  <c r="G427" i="11"/>
  <c r="F427" i="11"/>
  <c r="H423" i="11"/>
  <c r="G423" i="11"/>
  <c r="F423" i="11"/>
  <c r="H419" i="11"/>
  <c r="G419" i="11"/>
  <c r="F419" i="11"/>
  <c r="H412" i="11"/>
  <c r="G412" i="11"/>
  <c r="F412" i="11"/>
  <c r="H410" i="11"/>
  <c r="G410" i="11"/>
  <c r="F410" i="11"/>
  <c r="H408" i="11"/>
  <c r="G408" i="11"/>
  <c r="F408" i="11"/>
  <c r="H407" i="11"/>
  <c r="H404" i="11" s="1"/>
  <c r="G407" i="11"/>
  <c r="G404" i="11" s="1"/>
  <c r="F407" i="11"/>
  <c r="F404" i="11" s="1"/>
  <c r="H402" i="11"/>
  <c r="G402" i="11"/>
  <c r="F402" i="11"/>
  <c r="H398" i="11"/>
  <c r="G398" i="11"/>
  <c r="F398" i="11"/>
  <c r="H396" i="11"/>
  <c r="H394" i="11" s="1"/>
  <c r="G396" i="11"/>
  <c r="G394" i="11" s="1"/>
  <c r="F396" i="11"/>
  <c r="F394" i="11" s="1"/>
  <c r="H393" i="11"/>
  <c r="G393" i="11"/>
  <c r="F393" i="11"/>
  <c r="H392" i="11"/>
  <c r="G392" i="11"/>
  <c r="F392" i="11"/>
  <c r="H388" i="11"/>
  <c r="G388" i="11"/>
  <c r="F388" i="11"/>
  <c r="H385" i="11"/>
  <c r="G385" i="11"/>
  <c r="F385" i="11"/>
  <c r="H382" i="11"/>
  <c r="G382" i="11"/>
  <c r="F382" i="11"/>
  <c r="H380" i="11"/>
  <c r="H379" i="11" s="1"/>
  <c r="G380" i="11"/>
  <c r="G379" i="11" s="1"/>
  <c r="F380" i="11"/>
  <c r="F379" i="11" s="1"/>
  <c r="H376" i="11"/>
  <c r="G376" i="11"/>
  <c r="F376" i="11"/>
  <c r="H374" i="11"/>
  <c r="G374" i="11"/>
  <c r="F374" i="11"/>
  <c r="F372" i="11"/>
  <c r="F371" i="11" s="1"/>
  <c r="H371" i="11"/>
  <c r="G371" i="11"/>
  <c r="H370" i="11"/>
  <c r="G370" i="11"/>
  <c r="F370" i="11"/>
  <c r="H369" i="11"/>
  <c r="G369" i="11"/>
  <c r="F369" i="11"/>
  <c r="H365" i="11"/>
  <c r="G365" i="11"/>
  <c r="F365" i="11"/>
  <c r="H364" i="11"/>
  <c r="G364" i="11"/>
  <c r="F364" i="11"/>
  <c r="H363" i="11"/>
  <c r="G363" i="11"/>
  <c r="F363" i="11"/>
  <c r="H360" i="11"/>
  <c r="G360" i="11"/>
  <c r="F360" i="11"/>
  <c r="H359" i="11"/>
  <c r="G359" i="11"/>
  <c r="F359" i="11"/>
  <c r="H357" i="11"/>
  <c r="G357" i="11"/>
  <c r="F357" i="11"/>
  <c r="H356" i="11"/>
  <c r="G356" i="11"/>
  <c r="F356" i="11"/>
  <c r="H354" i="11"/>
  <c r="G354" i="11"/>
  <c r="F354" i="11"/>
  <c r="H353" i="11"/>
  <c r="G353" i="11"/>
  <c r="F353" i="11"/>
  <c r="H351" i="11"/>
  <c r="G351" i="11"/>
  <c r="F351" i="11"/>
  <c r="H350" i="11"/>
  <c r="G350" i="11"/>
  <c r="F350" i="11"/>
  <c r="H346" i="11"/>
  <c r="G346" i="11"/>
  <c r="F346" i="11"/>
  <c r="H344" i="11"/>
  <c r="H343" i="11" s="1"/>
  <c r="G344" i="11"/>
  <c r="G343" i="11" s="1"/>
  <c r="F344" i="11"/>
  <c r="F343" i="11" s="1"/>
  <c r="H340" i="11"/>
  <c r="G340" i="11"/>
  <c r="F340" i="11"/>
  <c r="H337" i="11"/>
  <c r="G337" i="11"/>
  <c r="F337" i="11"/>
  <c r="H335" i="11"/>
  <c r="G335" i="11"/>
  <c r="F335" i="11"/>
  <c r="H334" i="11"/>
  <c r="H332" i="11" s="1"/>
  <c r="G334" i="11"/>
  <c r="G332" i="11" s="1"/>
  <c r="F334" i="11"/>
  <c r="F332" i="11" s="1"/>
  <c r="H330" i="11"/>
  <c r="G330" i="11"/>
  <c r="F330" i="11"/>
  <c r="H328" i="11"/>
  <c r="G328" i="11"/>
  <c r="F328" i="11"/>
  <c r="H326" i="11"/>
  <c r="G326" i="11"/>
  <c r="F326" i="11"/>
  <c r="H325" i="11"/>
  <c r="G325" i="11"/>
  <c r="F325" i="11"/>
  <c r="H324" i="11"/>
  <c r="G324" i="11"/>
  <c r="F324" i="11"/>
  <c r="H321" i="11"/>
  <c r="G321" i="11"/>
  <c r="F321" i="11"/>
  <c r="H319" i="11"/>
  <c r="G319" i="11"/>
  <c r="F319" i="11"/>
  <c r="H317" i="11"/>
  <c r="G317" i="11"/>
  <c r="F317" i="11"/>
  <c r="H313" i="11"/>
  <c r="G313" i="11"/>
  <c r="F313" i="11"/>
  <c r="H311" i="11"/>
  <c r="G311" i="11"/>
  <c r="F311" i="11"/>
  <c r="H308" i="11"/>
  <c r="G308" i="11"/>
  <c r="F308" i="11"/>
  <c r="F306" i="11"/>
  <c r="F305" i="11" s="1"/>
  <c r="H305" i="11"/>
  <c r="G305" i="11"/>
  <c r="H302" i="11"/>
  <c r="H300" i="11" s="1"/>
  <c r="G302" i="11"/>
  <c r="G300" i="11" s="1"/>
  <c r="H298" i="11"/>
  <c r="G298" i="11"/>
  <c r="F298" i="11"/>
  <c r="H294" i="11"/>
  <c r="H293" i="11" s="1"/>
  <c r="G294" i="11"/>
  <c r="G293" i="11" s="1"/>
  <c r="F294" i="11"/>
  <c r="F293" i="11" s="1"/>
  <c r="H289" i="11"/>
  <c r="G289" i="11"/>
  <c r="F289" i="11"/>
  <c r="H285" i="11"/>
  <c r="G285" i="11"/>
  <c r="F285" i="11"/>
  <c r="H281" i="11"/>
  <c r="G281" i="11"/>
  <c r="F281" i="11"/>
  <c r="H279" i="11"/>
  <c r="G279" i="11"/>
  <c r="F279" i="11"/>
  <c r="H276" i="11"/>
  <c r="G276" i="11"/>
  <c r="F276" i="11"/>
  <c r="H272" i="11"/>
  <c r="G272" i="11"/>
  <c r="F272" i="11"/>
  <c r="H265" i="11"/>
  <c r="G265" i="11"/>
  <c r="F265" i="11"/>
  <c r="H263" i="11"/>
  <c r="G263" i="11"/>
  <c r="F263" i="11"/>
  <c r="H260" i="11"/>
  <c r="G260" i="11"/>
  <c r="F260" i="11"/>
  <c r="H258" i="11"/>
  <c r="G258" i="11"/>
  <c r="F258" i="11"/>
  <c r="H255" i="11"/>
  <c r="G255" i="11"/>
  <c r="F255" i="11"/>
  <c r="H253" i="11"/>
  <c r="G253" i="11"/>
  <c r="F253" i="11"/>
  <c r="H249" i="11"/>
  <c r="G249" i="11"/>
  <c r="F249" i="11"/>
  <c r="H246" i="11"/>
  <c r="G246" i="11"/>
  <c r="F246" i="11"/>
  <c r="H244" i="11"/>
  <c r="G244" i="11"/>
  <c r="F244" i="11"/>
  <c r="H243" i="11"/>
  <c r="G243" i="11"/>
  <c r="F243" i="11"/>
  <c r="H236" i="11"/>
  <c r="G236" i="11"/>
  <c r="F236" i="11"/>
  <c r="H233" i="11"/>
  <c r="H232" i="11" s="1"/>
  <c r="H229" i="11" s="1"/>
  <c r="G233" i="11"/>
  <c r="G232" i="11" s="1"/>
  <c r="G229" i="11" s="1"/>
  <c r="F233" i="11"/>
  <c r="F232" i="11" s="1"/>
  <c r="F229" i="11" s="1"/>
  <c r="H227" i="11"/>
  <c r="G227" i="11"/>
  <c r="F227" i="11"/>
  <c r="H225" i="11"/>
  <c r="G225" i="11"/>
  <c r="F225" i="11"/>
  <c r="H222" i="11"/>
  <c r="G222" i="11"/>
  <c r="F222" i="11"/>
  <c r="H218" i="11"/>
  <c r="G218" i="11"/>
  <c r="F218" i="11"/>
  <c r="H212" i="11"/>
  <c r="G212" i="11"/>
  <c r="F212" i="11"/>
  <c r="H205" i="11"/>
  <c r="G205" i="11"/>
  <c r="F205" i="11"/>
  <c r="H204" i="11"/>
  <c r="G204" i="11"/>
  <c r="F204" i="11"/>
  <c r="H201" i="11"/>
  <c r="H199" i="11" s="1"/>
  <c r="G201" i="11"/>
  <c r="G199" i="11" s="1"/>
  <c r="F201" i="11"/>
  <c r="F199" i="11" s="1"/>
  <c r="H197" i="11"/>
  <c r="G197" i="11"/>
  <c r="F197" i="11"/>
  <c r="H195" i="11"/>
  <c r="G195" i="11"/>
  <c r="F195" i="11"/>
  <c r="H190" i="11"/>
  <c r="G190" i="11"/>
  <c r="F190" i="11"/>
  <c r="H181" i="11"/>
  <c r="G181" i="11"/>
  <c r="H175" i="11"/>
  <c r="G175" i="11"/>
  <c r="F175" i="11"/>
  <c r="H171" i="11"/>
  <c r="G171" i="11"/>
  <c r="F171" i="11"/>
  <c r="H170" i="11"/>
  <c r="G170" i="11"/>
  <c r="F170" i="11"/>
  <c r="H166" i="11"/>
  <c r="G166" i="11"/>
  <c r="F166" i="11"/>
  <c r="H163" i="11"/>
  <c r="G163" i="11"/>
  <c r="F163" i="11"/>
  <c r="H161" i="11"/>
  <c r="G161" i="11"/>
  <c r="F161" i="11"/>
  <c r="H159" i="11"/>
  <c r="G159" i="11"/>
  <c r="F159" i="11"/>
  <c r="H157" i="11"/>
  <c r="G157" i="11"/>
  <c r="F157" i="11"/>
  <c r="H152" i="11"/>
  <c r="G152" i="11"/>
  <c r="F152" i="11"/>
  <c r="H150" i="11"/>
  <c r="G150" i="11"/>
  <c r="F150" i="11"/>
  <c r="F148" i="11"/>
  <c r="H148" i="11"/>
  <c r="G148" i="11"/>
  <c r="H144" i="11"/>
  <c r="G144" i="11"/>
  <c r="F144" i="11"/>
  <c r="H142" i="11"/>
  <c r="G142" i="11"/>
  <c r="F142" i="11"/>
  <c r="H140" i="11"/>
  <c r="G140" i="11"/>
  <c r="F140" i="11"/>
  <c r="H138" i="11"/>
  <c r="G138" i="11"/>
  <c r="F138" i="11"/>
  <c r="H135" i="11"/>
  <c r="G135" i="11"/>
  <c r="F135" i="11"/>
  <c r="H133" i="11"/>
  <c r="G133" i="11"/>
  <c r="F133" i="11"/>
  <c r="F132" i="11"/>
  <c r="F131" i="11"/>
  <c r="H130" i="11"/>
  <c r="G130" i="11"/>
  <c r="H128" i="11"/>
  <c r="H127" i="11" s="1"/>
  <c r="G128" i="11"/>
  <c r="G127" i="11" s="1"/>
  <c r="F128" i="11"/>
  <c r="F127" i="11" s="1"/>
  <c r="H121" i="11"/>
  <c r="G121" i="11"/>
  <c r="F121" i="11"/>
  <c r="H119" i="11"/>
  <c r="G119" i="11"/>
  <c r="F119" i="11"/>
  <c r="H117" i="11"/>
  <c r="G117" i="11"/>
  <c r="F117" i="11"/>
  <c r="H115" i="11"/>
  <c r="G115" i="11"/>
  <c r="F115" i="11"/>
  <c r="H112" i="11"/>
  <c r="G112" i="11"/>
  <c r="F112" i="11"/>
  <c r="H110" i="11"/>
  <c r="G110" i="11"/>
  <c r="F110" i="11"/>
  <c r="H109" i="11"/>
  <c r="H108" i="11" s="1"/>
  <c r="G109" i="11"/>
  <c r="G108" i="11" s="1"/>
  <c r="F108" i="11"/>
  <c r="H105" i="11"/>
  <c r="H104" i="11" s="1"/>
  <c r="G105" i="11"/>
  <c r="G104" i="11" s="1"/>
  <c r="F105" i="11"/>
  <c r="F104" i="11" s="1"/>
  <c r="H101" i="11"/>
  <c r="G101" i="11"/>
  <c r="F101" i="11"/>
  <c r="H99" i="11"/>
  <c r="G99" i="11"/>
  <c r="F99" i="11"/>
  <c r="H97" i="11"/>
  <c r="G97" i="11"/>
  <c r="F97" i="11"/>
  <c r="H95" i="11"/>
  <c r="G95" i="11"/>
  <c r="F95" i="11"/>
  <c r="H93" i="11"/>
  <c r="H91" i="11" s="1"/>
  <c r="G93" i="11"/>
  <c r="G91" i="11" s="1"/>
  <c r="F93" i="11"/>
  <c r="F91" i="11" s="1"/>
  <c r="H87" i="11"/>
  <c r="G87" i="11"/>
  <c r="F87" i="11"/>
  <c r="H86" i="11"/>
  <c r="G86" i="11"/>
  <c r="F86" i="11"/>
  <c r="H81" i="11"/>
  <c r="G81" i="11"/>
  <c r="F81" i="11"/>
  <c r="H78" i="11"/>
  <c r="G78" i="11"/>
  <c r="F78" i="11"/>
  <c r="H76" i="11"/>
  <c r="G76" i="11"/>
  <c r="F76" i="11"/>
  <c r="H73" i="11"/>
  <c r="G73" i="11"/>
  <c r="F73" i="11"/>
  <c r="H71" i="11"/>
  <c r="G71" i="11"/>
  <c r="F71" i="11"/>
  <c r="H69" i="11"/>
  <c r="G69" i="11"/>
  <c r="F69" i="11"/>
  <c r="H67" i="11"/>
  <c r="G67" i="11"/>
  <c r="F67" i="11"/>
  <c r="H65" i="11"/>
  <c r="G65" i="11"/>
  <c r="F66" i="11"/>
  <c r="F65" i="11" s="1"/>
  <c r="H63" i="11"/>
  <c r="G63" i="11"/>
  <c r="F63" i="11"/>
  <c r="H61" i="11"/>
  <c r="G61" i="11"/>
  <c r="F61" i="11"/>
  <c r="H59" i="11"/>
  <c r="G59" i="11"/>
  <c r="F59" i="11"/>
  <c r="H57" i="11"/>
  <c r="G57" i="11"/>
  <c r="F57" i="11"/>
  <c r="H55" i="11"/>
  <c r="G55" i="11"/>
  <c r="F55" i="11"/>
  <c r="H54" i="11"/>
  <c r="H53" i="11" s="1"/>
  <c r="G54" i="11"/>
  <c r="G53" i="11" s="1"/>
  <c r="F54" i="11"/>
  <c r="F53" i="11" s="1"/>
  <c r="H51" i="11"/>
  <c r="G51" i="11"/>
  <c r="F51" i="11"/>
  <c r="H48" i="11"/>
  <c r="H47" i="11" s="1"/>
  <c r="G48" i="11"/>
  <c r="G47" i="11" s="1"/>
  <c r="F48" i="11"/>
  <c r="F47" i="11" s="1"/>
  <c r="H45" i="11"/>
  <c r="G45" i="11"/>
  <c r="F45" i="11"/>
  <c r="H44" i="11"/>
  <c r="G44" i="11"/>
  <c r="F44" i="11"/>
  <c r="H43" i="11"/>
  <c r="G43" i="11"/>
  <c r="F43" i="11"/>
  <c r="H36" i="11"/>
  <c r="G36" i="11"/>
  <c r="F36" i="11"/>
  <c r="H33" i="11"/>
  <c r="G33" i="11"/>
  <c r="F33" i="11"/>
  <c r="H32" i="11"/>
  <c r="G32" i="11"/>
  <c r="F32" i="11"/>
  <c r="H28" i="11"/>
  <c r="H27" i="11" s="1"/>
  <c r="G28" i="11"/>
  <c r="G27" i="11" s="1"/>
  <c r="F28" i="11"/>
  <c r="F27" i="11" s="1"/>
  <c r="H26" i="11"/>
  <c r="G26" i="11"/>
  <c r="F26" i="11"/>
  <c r="H12" i="11"/>
  <c r="H11" i="11" s="1"/>
  <c r="G12" i="11"/>
  <c r="G11" i="11" s="1"/>
  <c r="F12" i="11"/>
  <c r="F11" i="11" s="1"/>
  <c r="G124" i="11" l="1"/>
  <c r="F137" i="11"/>
  <c r="H124" i="11"/>
  <c r="F397" i="11"/>
  <c r="H397" i="11"/>
  <c r="G397" i="11"/>
  <c r="G215" i="11"/>
  <c r="F349" i="11"/>
  <c r="F215" i="11"/>
  <c r="H215" i="11"/>
  <c r="H107" i="11"/>
  <c r="H271" i="11"/>
  <c r="F271" i="11"/>
  <c r="G271" i="11"/>
  <c r="F34" i="11"/>
  <c r="F41" i="11"/>
  <c r="F40" i="11" s="1"/>
  <c r="G154" i="11"/>
  <c r="G241" i="11"/>
  <c r="G235" i="11" s="1"/>
  <c r="H154" i="11"/>
  <c r="G41" i="11"/>
  <c r="G40" i="11" s="1"/>
  <c r="F154" i="11"/>
  <c r="H355" i="11"/>
  <c r="H362" i="11"/>
  <c r="H241" i="11"/>
  <c r="H235" i="11" s="1"/>
  <c r="F426" i="11"/>
  <c r="F422" i="11" s="1"/>
  <c r="F84" i="11"/>
  <c r="F50" i="11" s="1"/>
  <c r="F107" i="11"/>
  <c r="H323" i="11"/>
  <c r="G426" i="11"/>
  <c r="G422" i="11" s="1"/>
  <c r="F90" i="11"/>
  <c r="F89" i="11" s="1"/>
  <c r="G114" i="11"/>
  <c r="H187" i="11"/>
  <c r="H203" i="11"/>
  <c r="F352" i="11"/>
  <c r="G352" i="11"/>
  <c r="H30" i="11"/>
  <c r="H358" i="11"/>
  <c r="F30" i="11"/>
  <c r="F168" i="11"/>
  <c r="F165" i="11" s="1"/>
  <c r="G284" i="11"/>
  <c r="G362" i="11"/>
  <c r="F181" i="11"/>
  <c r="H137" i="11"/>
  <c r="G368" i="11"/>
  <c r="H34" i="11"/>
  <c r="H84" i="11"/>
  <c r="H50" i="11" s="1"/>
  <c r="F187" i="11"/>
  <c r="F203" i="11"/>
  <c r="G15" i="11"/>
  <c r="G14" i="11" s="1"/>
  <c r="G168" i="11"/>
  <c r="G165" i="11" s="1"/>
  <c r="G177" i="11"/>
  <c r="G174" i="11" s="1"/>
  <c r="G349" i="11"/>
  <c r="H349" i="11"/>
  <c r="G358" i="11"/>
  <c r="H368" i="11"/>
  <c r="H41" i="11"/>
  <c r="H40" i="11" s="1"/>
  <c r="F114" i="11"/>
  <c r="F130" i="11"/>
  <c r="F124" i="11" s="1"/>
  <c r="G297" i="11"/>
  <c r="G355" i="11"/>
  <c r="F362" i="11"/>
  <c r="H391" i="11"/>
  <c r="H114" i="11"/>
  <c r="F368" i="11"/>
  <c r="H426" i="11"/>
  <c r="H422" i="11" s="1"/>
  <c r="G90" i="11"/>
  <c r="G89" i="11" s="1"/>
  <c r="H90" i="11"/>
  <c r="H89" i="11" s="1"/>
  <c r="G191" i="11"/>
  <c r="H447" i="11"/>
  <c r="H446" i="11" s="1"/>
  <c r="H24" i="11"/>
  <c r="F177" i="11"/>
  <c r="H177" i="11"/>
  <c r="H174" i="11" s="1"/>
  <c r="G203" i="11"/>
  <c r="F241" i="11"/>
  <c r="F235" i="11" s="1"/>
  <c r="F447" i="11"/>
  <c r="F446" i="11" s="1"/>
  <c r="H284" i="11"/>
  <c r="H297" i="11"/>
  <c r="F323" i="11"/>
  <c r="G323" i="11"/>
  <c r="H352" i="11"/>
  <c r="F391" i="11"/>
  <c r="H15" i="11"/>
  <c r="H14" i="11" s="1"/>
  <c r="F24" i="11"/>
  <c r="G24" i="11"/>
  <c r="G107" i="11"/>
  <c r="G187" i="11"/>
  <c r="F191" i="11"/>
  <c r="H191" i="11"/>
  <c r="F284" i="11"/>
  <c r="F297" i="11"/>
  <c r="F355" i="11"/>
  <c r="F358" i="11"/>
  <c r="G391" i="11"/>
  <c r="G447" i="11"/>
  <c r="G446" i="11" s="1"/>
  <c r="H168" i="11"/>
  <c r="H165" i="11" s="1"/>
  <c r="F15" i="11"/>
  <c r="F14" i="11" s="1"/>
  <c r="G137" i="11"/>
  <c r="G30" i="11"/>
  <c r="G84" i="11"/>
  <c r="G50" i="11" s="1"/>
  <c r="G34" i="11"/>
  <c r="G186" i="11" l="1"/>
  <c r="F186" i="11"/>
  <c r="H186" i="11"/>
  <c r="H173" i="11" s="1"/>
  <c r="G103" i="11"/>
  <c r="G270" i="11"/>
  <c r="H310" i="11"/>
  <c r="H292" i="11" s="1"/>
  <c r="H103" i="11"/>
  <c r="F310" i="11"/>
  <c r="F292" i="11" s="1"/>
  <c r="G310" i="11"/>
  <c r="G292" i="11" s="1"/>
  <c r="F174" i="11"/>
  <c r="F103" i="11"/>
  <c r="F23" i="11"/>
  <c r="F10" i="11" s="1"/>
  <c r="F270" i="11"/>
  <c r="H270" i="11"/>
  <c r="H23" i="11"/>
  <c r="H10" i="11" s="1"/>
  <c r="G123" i="11"/>
  <c r="H123" i="11"/>
  <c r="G173" i="11"/>
  <c r="G23" i="11"/>
  <c r="G10" i="11" s="1"/>
  <c r="F123" i="11"/>
  <c r="F173" i="11" l="1"/>
  <c r="F473" i="11" s="1"/>
  <c r="F475" i="11" s="1"/>
  <c r="G473" i="11"/>
  <c r="G475" i="11" s="1"/>
  <c r="H473" i="11"/>
  <c r="H475" i="11" s="1"/>
  <c r="F478" i="11" l="1"/>
  <c r="H478" i="11"/>
  <c r="G478" i="11"/>
  <c r="G516" i="12" l="1"/>
  <c r="H516" i="12"/>
  <c r="F516" i="12" l="1"/>
</calcChain>
</file>

<file path=xl/sharedStrings.xml><?xml version="1.0" encoding="utf-8"?>
<sst xmlns="http://schemas.openxmlformats.org/spreadsheetml/2006/main" count="4459" uniqueCount="409">
  <si>
    <t>Другие вопросы в области социальной политики</t>
  </si>
  <si>
    <t>ИТОГО:</t>
  </si>
  <si>
    <t>Дефицит бюджета</t>
  </si>
  <si>
    <t>Подраз дел</t>
  </si>
  <si>
    <t>Общегосударственные вопросы</t>
  </si>
  <si>
    <t>Национальная безопасность и правоохранительная деятельность</t>
  </si>
  <si>
    <t>Другие вопросы в области физической культуры и спорта</t>
  </si>
  <si>
    <t>(тыс. руб.)</t>
  </si>
  <si>
    <t>600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</si>
  <si>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</si>
  <si>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</si>
  <si>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государственных (муниципальных) нужд</t>
  </si>
  <si>
    <t>200</t>
  </si>
  <si>
    <t>Социальное обеспечение и иные выплаты населению</t>
  </si>
  <si>
    <t>300</t>
  </si>
  <si>
    <t>400</t>
  </si>
  <si>
    <t>Иные бюджетные ассигнования</t>
  </si>
  <si>
    <t>800</t>
  </si>
  <si>
    <t>700</t>
  </si>
  <si>
    <t>Обслуживание государственного (муниципального) долга</t>
  </si>
  <si>
    <t>Закупка товаров работ и услуг для государственных (муниципальных) нужд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</si>
  <si>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</si>
  <si>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Раздел</t>
  </si>
  <si>
    <t>Целевая статья</t>
  </si>
  <si>
    <t>Вид расхода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</si>
  <si>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</si>
  <si>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</si>
  <si>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</si>
  <si>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</si>
  <si>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</si>
  <si>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</si>
  <si>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</si>
  <si>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</si>
  <si>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07</t>
  </si>
  <si>
    <t>Обслуживание государственного и муниципального долга</t>
  </si>
  <si>
    <t>11</t>
  </si>
  <si>
    <t>Резервные фонды</t>
  </si>
  <si>
    <t>12</t>
  </si>
  <si>
    <t>Другие общегосударственные вопросы</t>
  </si>
  <si>
    <t>09</t>
  </si>
  <si>
    <t>Национальная экономика</t>
  </si>
  <si>
    <t>Топливно-энергетический комплекс</t>
  </si>
  <si>
    <t>Другие вопросы в области национальной экономики</t>
  </si>
  <si>
    <t xml:space="preserve">Жилищно-коммунальное хозяйство </t>
  </si>
  <si>
    <t>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</si>
  <si>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</si>
  <si>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</si>
  <si>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</si>
  <si>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</si>
  <si>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</si>
  <si>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</si>
  <si>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</si>
  <si>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</si>
  <si>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</si>
  <si>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08</t>
  </si>
  <si>
    <t>Культура</t>
  </si>
  <si>
    <t>06</t>
  </si>
  <si>
    <t>Физическая культура и спорт</t>
  </si>
  <si>
    <t>10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</si>
  <si>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</si>
  <si>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</si>
  <si>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</si>
  <si>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</si>
  <si>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Культура, кинематография</t>
  </si>
  <si>
    <t>Другие вопросы в области культуры, кинематографии</t>
  </si>
  <si>
    <t>Физическая культура</t>
  </si>
  <si>
    <t>Массовый спорт</t>
  </si>
  <si>
    <t>13</t>
  </si>
  <si>
    <t>Обслуживание государственного внутреннего и муниципального долга</t>
  </si>
  <si>
    <t>Охрана семьи и детства</t>
  </si>
  <si>
    <t>к решению Совета народных депутатов Анжеро-Судженского городского округа</t>
  </si>
  <si>
    <t>Дорожное хозяйство (дорожные фонды)</t>
  </si>
  <si>
    <t>Начальник финансового управления города Анжеро-Судженска -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</si>
  <si>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</si>
  <si>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Капитальные вложения в объекты государственной (муниципальной) собственности</t>
  </si>
  <si>
    <t>Приложение 5</t>
  </si>
  <si>
    <t>05 2 00 72010</t>
  </si>
  <si>
    <t>Е.Н. Зачиняева</t>
  </si>
  <si>
    <t>01 4 00 79050</t>
  </si>
  <si>
    <t>01 5 00 79060</t>
  </si>
  <si>
    <t>01 5 00 71960</t>
  </si>
  <si>
    <t>04 1 00 51350</t>
  </si>
  <si>
    <t>04 3 00 51560</t>
  </si>
  <si>
    <t>08 6 00 80110</t>
  </si>
  <si>
    <t>08 6 00 70010</t>
  </si>
  <si>
    <t>08 6 00 70020</t>
  </si>
  <si>
    <t>08 6 00 70030</t>
  </si>
  <si>
    <t>08 6 00 70060</t>
  </si>
  <si>
    <t>08 6 00 70080</t>
  </si>
  <si>
    <t>08 5 00 70160</t>
  </si>
  <si>
    <t xml:space="preserve">08 5 00 70160 </t>
  </si>
  <si>
    <t>08 4 00 70280</t>
  </si>
  <si>
    <t>08 5 00 70170</t>
  </si>
  <si>
    <t>08 6 00 52700</t>
  </si>
  <si>
    <t>08 6 00 52200</t>
  </si>
  <si>
    <t>08 6 00 52800</t>
  </si>
  <si>
    <t>08 6 00 52500</t>
  </si>
  <si>
    <t>08 6 00 53800</t>
  </si>
  <si>
    <t>08 6 00 70090</t>
  </si>
  <si>
    <t>08 6 00 80050</t>
  </si>
  <si>
    <t>08 6 00 70050</t>
  </si>
  <si>
    <t>08 6 00 80010</t>
  </si>
  <si>
    <t>08 6 00 80070</t>
  </si>
  <si>
    <t>08 6 00 70070</t>
  </si>
  <si>
    <t>08 6 00 70100</t>
  </si>
  <si>
    <t>08 6 00 80080</t>
  </si>
  <si>
    <t>08 6 00 80090</t>
  </si>
  <si>
    <t>08 6 00 80040</t>
  </si>
  <si>
    <t>08 6 00 80100</t>
  </si>
  <si>
    <t>08 6 00 51370</t>
  </si>
  <si>
    <t>08 6 00 70190</t>
  </si>
  <si>
    <t>05 1 00 71830</t>
  </si>
  <si>
    <t>05 1 00 71840</t>
  </si>
  <si>
    <t>05 1 00 71820</t>
  </si>
  <si>
    <t>05 3 00 72070</t>
  </si>
  <si>
    <t>05 1 00 71800</t>
  </si>
  <si>
    <t>05 2 00 72050</t>
  </si>
  <si>
    <t>05 2 00 72040</t>
  </si>
  <si>
    <t>05 2 00 72030</t>
  </si>
  <si>
    <t>05 2 00 80120</t>
  </si>
  <si>
    <t>05 2 00 71810</t>
  </si>
  <si>
    <t>05 2 00 80130</t>
  </si>
  <si>
    <t>05 2 00 52600</t>
  </si>
  <si>
    <t>05 2 00 73050</t>
  </si>
  <si>
    <t>04 1 00 R0820</t>
  </si>
  <si>
    <t>08 6 00 R0840</t>
  </si>
  <si>
    <t>04 2 00 L0200</t>
  </si>
  <si>
    <t>05 1 00 71940</t>
  </si>
  <si>
    <t>06 0 00 70420</t>
  </si>
  <si>
    <t>05 1 00 71930</t>
  </si>
  <si>
    <t>05 2 00 72000</t>
  </si>
  <si>
    <t>05 2 00 70490</t>
  </si>
  <si>
    <t>2019 год</t>
  </si>
  <si>
    <t>2018 год</t>
  </si>
  <si>
    <t>01 1 00 11011</t>
  </si>
  <si>
    <t>Центральный аппарат</t>
  </si>
  <si>
    <t>99 0 00 24001</t>
  </si>
  <si>
    <t>99 0 00 20111</t>
  </si>
  <si>
    <t>Председатель представительного органа муниципального образования</t>
  </si>
  <si>
    <t>99 0 00 20121</t>
  </si>
  <si>
    <t>Создание и функционирование комиссий по делам несовершеннолетних и защите их прав</t>
  </si>
  <si>
    <t>Создание и функционирование административных комиссий</t>
  </si>
  <si>
    <t>01 1 00 11021</t>
  </si>
  <si>
    <t>01 1 00 11031</t>
  </si>
  <si>
    <t>99 0 00 20131</t>
  </si>
  <si>
    <t>Председатель Контрольно-счетной палаты</t>
  </si>
  <si>
    <t>01 5 00 13071</t>
  </si>
  <si>
    <t>Обеспечение деятельности МАУ МФЦ</t>
  </si>
  <si>
    <t>13 0 00 11171</t>
  </si>
  <si>
    <t>Осуществление функций по хранению, комплектованию, учету и использованию документов Архивного фонда Кемеровской области</t>
  </si>
  <si>
    <t>Развитие архивного дела на территории Анжеро-Судженского городского округа</t>
  </si>
  <si>
    <t>01 4 00 11401</t>
  </si>
  <si>
    <t>01 5 00 94041</t>
  </si>
  <si>
    <t>Денежные выплаты гражданам, имеющим звание "Почетный гражданин Анжеро-Судженского городского округа"</t>
  </si>
  <si>
    <t>01 5 00 16131</t>
  </si>
  <si>
    <t>Поздравления и памятные подарки</t>
  </si>
  <si>
    <t>01 5 00 17001</t>
  </si>
  <si>
    <t>Исполнение судебных актов</t>
  </si>
  <si>
    <t>Техническая инвентаризация и паспортизация объектов муниципальной собственности</t>
  </si>
  <si>
    <t>02 0 00 13001</t>
  </si>
  <si>
    <t>02 0 00 14001</t>
  </si>
  <si>
    <t>Независимая оценка объектов муниципальной собственности</t>
  </si>
  <si>
    <t>02 0 00 15001</t>
  </si>
  <si>
    <t>Проведение капитальных ремонтов объектов инженерной инфраструктуры, находящихся в муниципальной собственности</t>
  </si>
  <si>
    <t>02 0 00 16001</t>
  </si>
  <si>
    <t>Размещение информации в СМИ</t>
  </si>
  <si>
    <t>02 0 00 17002</t>
  </si>
  <si>
    <t>Создание и ликвидация муниципальных предприятий</t>
  </si>
  <si>
    <t>02 0 00 18001</t>
  </si>
  <si>
    <t>Обеспечение эффективности в сфере управления муниципальным имуществом</t>
  </si>
  <si>
    <t>02 0 00 19001</t>
  </si>
  <si>
    <t>03 3 00 11151</t>
  </si>
  <si>
    <t>03 3 00 12161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</si>
  <si>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предотвращение актов насилия и терроризма в отношении детей в общеобразовательных учреждениях, на отдыхе в загородных лагерях во время летних каникул; на водных объектах; оказание помощи отделу военного комиссариата во время призыва</t>
  </si>
  <si>
    <t>Охрана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охрана общественного порядка на водных объектах</t>
  </si>
  <si>
    <t>Создание территориального компонента Общероссийской комплексной системы информирования и оповещения населения в чрезвычайных ситуациях</t>
  </si>
  <si>
    <t>03 1 00 11002</t>
  </si>
  <si>
    <t>03 2 00 11701</t>
  </si>
  <si>
    <t>Обеспечение первичных мер пожарной безопасности с массовым пребыванием людей</t>
  </si>
  <si>
    <t>03 2 00 12701</t>
  </si>
  <si>
    <t>Противопожарное обустройство населенных пунктов</t>
  </si>
  <si>
    <t>03 2 00 13701</t>
  </si>
  <si>
    <t>Материальное стимулирование деятельности добровольных пожарных</t>
  </si>
  <si>
    <t>Реализация программ местного развития и обеспечение занятости для шахтерских городов и поселков</t>
  </si>
  <si>
    <t>10 3 00 14101</t>
  </si>
  <si>
    <t>Расходы по содержанию автомобильных дорог и инженерных сооружений на них</t>
  </si>
  <si>
    <t>11 1 00 11121</t>
  </si>
  <si>
    <t>Освещение автодорог местного значения и текущее содержание линий дорожного освещения</t>
  </si>
  <si>
    <t>11 2 00 11111</t>
  </si>
  <si>
    <t>Повышение безопасности дорожного движения, КРИСы, Безопасный город</t>
  </si>
  <si>
    <t>11 7 00 11112</t>
  </si>
  <si>
    <t>14 0 00 12801</t>
  </si>
  <si>
    <t>Содействие формированию положительного имиджа предпринимательской деятельности</t>
  </si>
  <si>
    <t>Кредитно-финансовая и имущественная поддержка субъектов малого и среднего предпринимательства</t>
  </si>
  <si>
    <t>02 0 00 11001</t>
  </si>
  <si>
    <t>Формирование и оформление границ земельных участков</t>
  </si>
  <si>
    <t>02 0 00 12001</t>
  </si>
  <si>
    <t>Оформление и выполнение работ по подготовке проектов межевания застроенных территорий и установлению границ под многоквартирными жилыми домами</t>
  </si>
  <si>
    <t>04 1 00 11501</t>
  </si>
  <si>
    <t>Обеспечение жильем социально незащищенных категорий граждан, установленных законодательством Кемеровской области и Федеральными законами</t>
  </si>
  <si>
    <t>04 3 00 14151</t>
  </si>
  <si>
    <t>Проведение обследования ветхого и аварийного муниципального жилого фонда, снос ветхого жилья</t>
  </si>
  <si>
    <t>04 4 00 11201</t>
  </si>
  <si>
    <t>Строительство</t>
  </si>
  <si>
    <t>04 4 00 12201</t>
  </si>
  <si>
    <t>Проектные работы</t>
  </si>
  <si>
    <t>Капитальный ремонт общего имущества многоквартирных домов, находящихся в муниципальной собственности</t>
  </si>
  <si>
    <t>04 5 00 13003</t>
  </si>
  <si>
    <t>04 5 00 12202</t>
  </si>
  <si>
    <t>Капитальный ремонт муниципальных сетей и котельного оборудования</t>
  </si>
  <si>
    <t>10 1 00 11301</t>
  </si>
  <si>
    <t>Актуализация схемы теплоснабжения</t>
  </si>
  <si>
    <t>10 1 00 13301</t>
  </si>
  <si>
    <t>10 1 00 12301</t>
  </si>
  <si>
    <t>Теплоснабжение восточного жилого района г.Анжеро-Судженска (строительство теплотрассы)</t>
  </si>
  <si>
    <t>Предоставление субсидий бюджетным, автономным учреждениям и иным некоммерческим организациям</t>
  </si>
  <si>
    <t>10 1 00 15301</t>
  </si>
  <si>
    <t>Проверка сметной документации, технадзор</t>
  </si>
  <si>
    <t>10 3 00 11203</t>
  </si>
  <si>
    <t>10 3 00 11302</t>
  </si>
  <si>
    <t>Компенсация выпадающих доходов организациям, предоставляющим населению услуги газоснабжения по тарифам, не обеспечивающим возмещение издержек</t>
  </si>
  <si>
    <t>10 3 00 12402</t>
  </si>
  <si>
    <t>Стоимость электроэнергии</t>
  </si>
  <si>
    <t>11 2 00 12111</t>
  </si>
  <si>
    <t>11 3 0011131</t>
  </si>
  <si>
    <t>11 3 00 11131</t>
  </si>
  <si>
    <t>Организация работ по озеленению парков, скверов, аллей, улично-дорожной сети</t>
  </si>
  <si>
    <t>11 4 00 11141</t>
  </si>
  <si>
    <t>Текущее содержание и очистка кладбищ</t>
  </si>
  <si>
    <t>11 5 00 11152</t>
  </si>
  <si>
    <t>Прочие мероприятия по объектам внешнего благоустройства, направленные на охрану окружающей среды и отдых населения</t>
  </si>
  <si>
    <t>10 2 00 11901</t>
  </si>
  <si>
    <t>Организация и осуществление деятельности по снижению рисков и смягчению последствий аварийных ситуаций на объектах ЖКХ и социальной сферы</t>
  </si>
  <si>
    <t>10 4 00 11043</t>
  </si>
  <si>
    <t>Осуществление функций по реализации вопросов местного значения в сфере жилищно-коммунального хозяйства</t>
  </si>
  <si>
    <t>11 6 00 11902</t>
  </si>
  <si>
    <t>Организация мероприятий по обеспечению надлежащего состояния уровня благоустройства территории Анжеро-Судженского городского округа</t>
  </si>
  <si>
    <t>05 1 00 11211</t>
  </si>
  <si>
    <t>05 1 00 11231</t>
  </si>
  <si>
    <t>05 1 00 11202</t>
  </si>
  <si>
    <t>Обеспечение деятельности по содержанию организаций для детей-сирот и детей, оставшихся без попечения родителей</t>
  </si>
  <si>
    <t>Обеспечение образовательной деятельности образовательных организаций по адаптированным общеобразовательным программам</t>
  </si>
  <si>
    <t>Развитие единого образовательного пространства, повышение качества образовательных результатов</t>
  </si>
  <si>
    <t>Организация круглогодичного отдыха, оздоровления и занятости обучающихся</t>
  </si>
  <si>
    <t>Обеспечение деятельности образовательных учреждений для детей с ограниченными возможностями здоровья, детей-сирот и детей, оставшихся без попечения родителей, включая реализацию образовательных программ дошкольного и общего образования</t>
  </si>
  <si>
    <t>05 1 00 12221</t>
  </si>
  <si>
    <t>05 1 00 13011</t>
  </si>
  <si>
    <t>05 1 00 12051</t>
  </si>
  <si>
    <t>05 1 00 15231</t>
  </si>
  <si>
    <t>Адресная социальная поддержка участников образовательного процесса</t>
  </si>
  <si>
    <t>05 2 00 11012</t>
  </si>
  <si>
    <t>Реализация мер в области государственной молодежной политики</t>
  </si>
  <si>
    <t>05 1 00 16071</t>
  </si>
  <si>
    <t>Развитие молодежной политики в Анжеро-Судженском городском округе</t>
  </si>
  <si>
    <t>Организация и осуществление деятельности по опеке и попечительству</t>
  </si>
  <si>
    <t>05 1 00 12021</t>
  </si>
  <si>
    <t>05 1 00 13211</t>
  </si>
  <si>
    <t>05 1 00 17011</t>
  </si>
  <si>
    <t>05 1 00 18221</t>
  </si>
  <si>
    <t>Развитие кадрового потенциала муниципальной системы образования</t>
  </si>
  <si>
    <t>05 3 00 11041</t>
  </si>
  <si>
    <t>05 3 00 11351</t>
  </si>
  <si>
    <t>05 3 00 11521</t>
  </si>
  <si>
    <t>Ежемесячные выплаты стимулирующего характера работникам муниципальных библиотек, музеев и культурно-досуговых учреждений</t>
  </si>
  <si>
    <t>06 0 00 11402</t>
  </si>
  <si>
    <t>Обеспечение деятельности учреждений клубного типа</t>
  </si>
  <si>
    <t>06 0 00 12411</t>
  </si>
  <si>
    <t>Развитие музейного дела</t>
  </si>
  <si>
    <t>Развитие библиотечного дела</t>
  </si>
  <si>
    <t>06 0 00 13421</t>
  </si>
  <si>
    <t>06 0 00 14041</t>
  </si>
  <si>
    <t>06 0 00 14521</t>
  </si>
  <si>
    <t>Кадровое обеспечение - молодой специалист</t>
  </si>
  <si>
    <t>08 7 00 11005</t>
  </si>
  <si>
    <t>08 2 00 91001</t>
  </si>
  <si>
    <t>Обеспечение деятельности (оказание услуг) учреждений социального обслуживания граждан пожилого возраста, инвалидов и других категорий граждан, находящихся в трудной жизненной ситуации</t>
  </si>
  <si>
    <t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</t>
  </si>
  <si>
    <t>08 5 00 11051</t>
  </si>
  <si>
    <t>Затраты на содержание муниципальных учреждений социального обслуживания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</si>
  <si>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</si>
  <si>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</t>
  </si>
  <si>
    <t>Предоставление бесплатного проезда на городском, пригородном, в сельской местности на внутрирайонном транспорте детям-сиротам и детям, оставшимся без попечения родителей, обучающимся в общеобразовательных организациях</t>
  </si>
  <si>
    <t>Обеспечение зачисления денежных средств для детей-сирот и детей, оставшихся без попечения родителей, на специальные накопительные банковские счета</t>
  </si>
  <si>
    <t>Предоставление бесплатного проезда отдельным категориям обучающихся</t>
  </si>
  <si>
    <t>Ежемесячные денежные выплаты отдельным категориям граждан, воспитывающих детей в возрасте от 1,5 до 7 лет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</si>
  <si>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</si>
  <si>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Оплата жилищно-коммунальных услуг отдельным категориям граждан</t>
  </si>
  <si>
    <t>Обеспечение мер социальной поддержки ветеранов труда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</si>
  <si>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Обеспечение мер социальной поддержки реабилитированных лиц и лиц, признанных пострадавшими от политических репрессий в соответствии с Законом Кемеровской области от 20 декабря 2004 года № 114-ОЗ "О мерах социальной поддержки реабилитированных лиц и лиц, признанных пострадавшими от политических репрессий"</t>
  </si>
  <si>
    <t>Меры социальной поддержки многодетных семей в соответствии с Законом Кемеровской области от 14 ноября 2005 года № 123-ОЗ "О мерах социальной поддержки многодетных семей в Кемеровской области"</t>
  </si>
  <si>
    <t>Меры социальной поддержки отдельных категорий многодетных матерей в соответствии с Законом Кемеровской области от 8 апреля 2008 года № 14-ОЗ "О мерах социальной поддержки отдельных категорий многодетных матерей"</t>
  </si>
  <si>
    <t>Меры социальной поддержки отдельных категорий граждан в соответствии с Законом Кемеровской области от 27 января 2005 года № 15-ОЗ "О мерах социальной поддержки отдельных категорий граждан"</t>
  </si>
  <si>
    <t>Предоставление гражданам субсидий на оплату жилого помещения и коммунальных услуг</t>
  </si>
  <si>
    <t>Меры социальной поддержки работников муниципальных учреждений социального обслуживания в виде пособий и компенсации в соответствии с Законом Кемеровской области от 30 октября 2007 года № 132-ОЗ "О мерах социальной поддержки работников муниципальных учреждений социального обслуживания"</t>
  </si>
  <si>
    <t>Дополнительная мера социальной поддержки семей, имеющих детей, в соответствии с Законом Кемеровской области от 25 апреля 2011 года № 51-ОЗ "О дополнительной мере социальной поддержки семей, имеющих детей"</t>
  </si>
  <si>
    <t>Социальная поддержка граждан, достигших возраста 70 лет, в соответствии с Законом Кемеровской области от 10 июня 2005 года № 74-ОЗ "О социальной поддержке граждан, достигших возраста 70 лет"</t>
  </si>
  <si>
    <t>Государственная социальная помощь малоимущим семьям и малоимущим одиноко проживающим гражданам в соответствии с Законом Кемеровской области от 8 декабря 2005 года № 140-ОЗ "О государственной социальной помощи малоимущим семьям и малоимущим одиноко проживающим гражданам"</t>
  </si>
  <si>
    <t>Денежная выплата отдельным категориям граждан в соответствии с Законом Кемеровской области от 12 декабря 2006 года № 156-ОЗ "О денежной выплате отдельным категориям граждан"</t>
  </si>
  <si>
    <t>Выплата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18 ноября 2004 года № 82-ОЗ "О погребении и похоронном деле в Кемеровской области"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</si>
  <si>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</si>
  <si>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Выплата единовременного пособия при всех формах устройства детей, лишенных родительского попечения, в семью</t>
  </si>
  <si>
    <t>Компенсация части платы за присмотр и уход, взимаемой с родителей (законных представителей) детей, осваивающих образовательные программы дошкольного образования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</si>
  <si>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</si>
  <si>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Поддержка молодых семей и семей бюджетников</t>
  </si>
  <si>
    <t>01 5 00 15011</t>
  </si>
  <si>
    <t>08 1 00 11403</t>
  </si>
  <si>
    <t>Адресная помощь</t>
  </si>
  <si>
    <t>08 1 00 12401</t>
  </si>
  <si>
    <t>Поддержка общественных организаций</t>
  </si>
  <si>
    <t>Поддержка пенсионеров и инвалидов</t>
  </si>
  <si>
    <t>08 1 00 13401</t>
  </si>
  <si>
    <t>Возмещение затрат по содержанию специализированного муниципального жилого фонда</t>
  </si>
  <si>
    <t>08 1 00 14401</t>
  </si>
  <si>
    <t>Возмещение затрат по организации холодного водоснабжения путем подвоза питьевой воды населению города, проживающего в жилых домах, не подключенных к централизованной системе холодного водоснабжения и не возможностью проведения его, по причине отдаленности от сетей централизованного водоснабжения</t>
  </si>
  <si>
    <t>08 1 00 15401</t>
  </si>
  <si>
    <t>Социальная поддержка и социальное обслуживание населения в части содержания органов местного самоуправления</t>
  </si>
  <si>
    <t>09 0 00 11013</t>
  </si>
  <si>
    <t>Повышение доступности и качества спортивно-оздоровительных услуг</t>
  </si>
  <si>
    <t>09 0 00 14011</t>
  </si>
  <si>
    <t>Вовлечение детей и подростков в сферу физической культуры и спорта путем занятости молодежи в вечернее время спортивно-массовыми мероприятиями</t>
  </si>
  <si>
    <t>09 0 00 11042</t>
  </si>
  <si>
    <t>12 0 00 11004</t>
  </si>
  <si>
    <t>Процентные платежи по муниципальному долгу Анжеро-Судженского городского округа</t>
  </si>
  <si>
    <t>Выплата пенсии за выслугу лет в соответствии с Решением Анжеро-Судженского городского Совета народных депутатов от 26.11.2009г №396 "О пенсиях за выслугу лет лицам, замещавшим муниципальные должности, и должности муниципальной службы муниципального образования "Анжеро-Судженский городской округ""</t>
  </si>
  <si>
    <t>03 1 00 14002</t>
  </si>
  <si>
    <t>Развитие ЕДДС Анжеро-Судженского городского округа</t>
  </si>
  <si>
    <t>05 1 00 15521</t>
  </si>
  <si>
    <t>Создание условий для развития физической культуры и массового спорта в городском округе</t>
  </si>
  <si>
    <t>09 0 00 13012</t>
  </si>
  <si>
    <t>Дополнительное образование детей</t>
  </si>
  <si>
    <t>Осуществление полномочия по осуществлению ежегодной денежной выплаты лицам, награжденным нагрудным знаком "Почетный донор России"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</si>
  <si>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</si>
  <si>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теплоснабжения в соответствии с установленным предельным индексом</t>
  </si>
  <si>
    <t>Возмещение недополученных экономически обоснованных затрат ресурсоснабжающим организациям и затрат, возникших в результате приведения размера платы граждан за услуги водоснабжения, водоотведения в соответствии с установленным предельным индексом</t>
  </si>
  <si>
    <t>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</si>
  <si>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</si>
  <si>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войны,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</t>
  </si>
  <si>
    <t>Меры социальной поддержки отдельных категорий приемных родителей в соответствии с Законом Кемеровской области от 7 февраля 2013 года № 9-ОЗ "О мерах социальной поддержки отдельных категорий приемных родителей"</t>
  </si>
  <si>
    <t>Предоставление бесплатного проезда на всех видах городского пассажирского транспорта детям работников, погибших (умерших) в результате несчастных случаев на производстве на угледобывающих и горнорудных предприятиях, в соответствии с Законом Кемеровской области от 18 мая 2004 года № 29-ОЗ "О предоставлении меры социальной поддержки по оплате проезда детям работников, погибших (умерших) в результате несчастных случаев на производстве на угледобывающих и горнорудных предприятиях"</t>
  </si>
  <si>
    <t>Меры социальной поддержки в целях развития дополнительного социального обеспечения отдельных категорий граждан в рамках публичного нормативного обязательства</t>
  </si>
  <si>
    <t>Пособие на ребенка в соответствии с Законом Кемеровской области от 18 ноября 2004 года № 75-ОЗ "О размере, порядке назначения и выплаты пособия на ребенка"</t>
  </si>
  <si>
    <t>Меры социальной поддержки по оплате жилых помещений и (или) коммунальных услуг отдельных категорий граждан, оказание мер социальной поддержки которым относится к ведению субъекта Российской Федерации, в соответствии с Законом Кемеровской области от 17 января 2005 года № 2-ОЗ "О мерах социальной поддержки отдельных категорий граждан по оплате жилья и (или) коммунальных услуг"</t>
  </si>
  <si>
    <t>Ежемесячная денежная выплата, назначаемая в случае рождения третьего ребенка или последующих детей, до достижения ребенком возраста трех лет</t>
  </si>
  <si>
    <t>Мероприятия подпрограммы "Обеспечение жильем молодых семей" федеральной целевой программы "Жилище" на 2015 - 2020 годы</t>
  </si>
  <si>
    <t>Резервный фонд</t>
  </si>
  <si>
    <t>Содержание муниципального имущества</t>
  </si>
  <si>
    <t>Депутаты представительного органа муниципального образования</t>
  </si>
  <si>
    <t>Капитальный ремонт муниципального жилищного фонда, в т.ч. отдельных муниципальных квартир</t>
  </si>
  <si>
    <t>Повышение эффективности деятельности органа местного самоуправления</t>
  </si>
  <si>
    <t>Обеспечение доступности дошкольного, общего и дополнительного образования детей, повышение качества образовательных результатов, включая образовательные программы дошкольного общего и дополнительного образования</t>
  </si>
  <si>
    <t>Организация круглогодичного отдыха, оздоровления и занятости обучающихся, закаливание беременных</t>
  </si>
  <si>
    <t>Развитие физической культуры и детско-юношеского спорта в Анжеро-Судженском городском округе</t>
  </si>
  <si>
    <t>Поддержка талантливых детей и молодежи, обеспечение условий для их личностной самореализации и профессионального самоопределения, успешной социализации в обществе</t>
  </si>
  <si>
    <t>Социальная поддержка участников образовательного процесса</t>
  </si>
  <si>
    <t>Обеспечение деятельности прочих организаций в сфере образования Анжеро-Судженского городского округа</t>
  </si>
  <si>
    <t>Развитие управления в сфере культуры</t>
  </si>
  <si>
    <t>04 1 00 71660</t>
  </si>
  <si>
    <t>Обеспечение жильем социальных категорий граждан, установленных законодательством Кемеровской области</t>
  </si>
  <si>
    <t xml:space="preserve">Приложение </t>
  </si>
  <si>
    <t>от ________________2017г. № ________</t>
  </si>
  <si>
    <t>10 1 00 72540</t>
  </si>
  <si>
    <t>04 1 00 71850</t>
  </si>
  <si>
    <t>Закупка товаров, работ и услуг для обеспечения государственных (муниципальных) нужд</t>
  </si>
  <si>
    <t>ПИР котельной по ул. Прокопьевская, сети теплоснабжения</t>
  </si>
  <si>
    <t>10 1 00 18301</t>
  </si>
  <si>
    <t>Осуществление спортивной подготовки на территории городского округа</t>
  </si>
  <si>
    <t>09 0 00 15232</t>
  </si>
  <si>
    <t xml:space="preserve">Социальная поддержка работников образовательных организаций и участников образовательного процесса </t>
  </si>
  <si>
    <t xml:space="preserve"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</t>
  </si>
  <si>
    <t xml:space="preserve">Социальная поддержка граждан при всех формах устройства детей, лишенных родительского попечения, в семью в соответствии с законами Кемеровской области от 14 декабря 2010 года № 124-ОЗ «О некоторых вопросах в сфере опеки и попечительства несовершеннолетних» и от 13 марта 2008 года № 5-ОЗ «О предоставлении меры социальной поддержки гражданам, усыновившим (удочерившим) детей-сирот и детей, оставшихся без попечения родителей» </t>
  </si>
  <si>
    <t>14 0 00 L5270</t>
  </si>
  <si>
    <t>Распределение бюджетных ассигнований бюджета муниципального образования "Анжеро-Судженский городской округ" по разделам, подразделам, целевым статьям (муниципальным программам и непрограммным направлениям деятельности), группам видов расходов классификации расходов бюджетов на 2018 год и на плановый период 2019 и 2020 годов</t>
  </si>
  <si>
    <t>2020 год</t>
  </si>
  <si>
    <t>Возмещение затрат, возникших в результате применения регулируемых цен при реализации угля на коммунально-бытовые нужды населению</t>
  </si>
  <si>
    <t>Условно утвержденные расходы</t>
  </si>
  <si>
    <t>99</t>
  </si>
  <si>
    <t>99 0 00 99999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</si>
  <si>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</si>
  <si>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</si>
  <si>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01 5 99 51200</t>
  </si>
  <si>
    <t>Содержание и обустройство сибиреязвенных захоронений и скотомогильников (биотермических ям)</t>
  </si>
  <si>
    <t>10 5 00 71140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</si>
  <si>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«О социальной защите инвалидов в Российской Федерации»</t>
  </si>
  <si>
    <t>08 6 00 70840</t>
  </si>
  <si>
    <t>04 1 00 51760</t>
  </si>
  <si>
    <t>Строительство и реконструкция котельных и сетей теплоснабжения с пименением  энергоэффективных технологий, материалов и оборудования</t>
  </si>
  <si>
    <t>Выполнение полномочий Российской Федерации по осуществлению ежемесячной выплаты в связи с рождением (усыновлением) первого ребенка</t>
  </si>
  <si>
    <t>08 6 00 55730</t>
  </si>
  <si>
    <t>04 3 00 11181</t>
  </si>
  <si>
    <t>Этнокультурное развитие наций и народностей Кемеровской области</t>
  </si>
  <si>
    <t>06 0 00 70480</t>
  </si>
  <si>
    <t>Разработка схемы водоснабжения и водоотведения</t>
  </si>
  <si>
    <t>10 1 00 17301</t>
  </si>
  <si>
    <t>Проектирование, строительство (реконструкция), капитальный ремонт и ремонт автомобильных дорог общего пользования муниципального значения, а также до сельских населенных пунктов, не имеющих круглогодичной связи с сетью автомобильных дорог общего пользования</t>
  </si>
  <si>
    <t>11 1 00 72690</t>
  </si>
  <si>
    <t>Реализация мероприятий по обеспечению жильем молодых семей</t>
  </si>
  <si>
    <t>04 2 00 L4970</t>
  </si>
  <si>
    <t>11 1 00 S2690</t>
  </si>
  <si>
    <t>от ________________2018г. № ________</t>
  </si>
  <si>
    <t xml:space="preserve">от  21.12.2017 № 95 </t>
  </si>
  <si>
    <t>Приложение 4</t>
  </si>
  <si>
    <t>Поддержка государственной программы Кемеровской области и муниципальных программ формирования современной городской среды</t>
  </si>
  <si>
    <t xml:space="preserve">15 0 00 L5550 </t>
  </si>
  <si>
    <t>7 0 00 14521</t>
  </si>
  <si>
    <t>Капитальный ремонт ул. Ленина</t>
  </si>
  <si>
    <t>11 8 00 11182</t>
  </si>
  <si>
    <t>Заместитель начальника финансового управления города Анжеро-Судженска -</t>
  </si>
  <si>
    <t>Т.С. Орлова</t>
  </si>
  <si>
    <t>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</si>
</sst>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0"/>
  </numFmts>
  <fonts count="2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4"/>
      <name val="Arial Cyr"/>
      <family val="2"/>
      <charset val="204"/>
    </font>
    <font>
      <b/>
      <sz val="10"/>
      <name val="Arial Cyr"/>
      <charset val="204"/>
    </font>
    <font>
      <u/>
      <sz val="10"/>
      <name val="Arial Cyr"/>
      <charset val="204"/>
    </font>
    <font>
      <sz val="10"/>
      <color indexed="8"/>
      <name val="Arial"/>
      <family val="2"/>
      <charset val="204"/>
    </font>
    <font>
      <sz val="9"/>
      <name val="Arial Cyr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 Cyr"/>
      <charset val="204"/>
    </font>
    <font>
      <i/>
      <sz val="10"/>
      <name val="Arial"/>
      <family val="2"/>
      <charset val="204"/>
    </font>
    <font>
      <i/>
      <sz val="10"/>
      <name val="Arial Cyr"/>
      <charset val="204"/>
    </font>
    <font>
      <i/>
      <sz val="10"/>
      <name val="Arial Cyr"/>
      <family val="2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Arial Cyr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49" fontId="2" fillId="0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0" fillId="0" borderId="1" xfId="0" applyFill="1" applyBorder="1" applyAlignment="1">
      <alignment wrapText="1"/>
    </xf>
    <xf numFmtId="49" fontId="0" fillId="0" borderId="1" xfId="0" applyNumberForma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49" fontId="0" fillId="0" borderId="1" xfId="0" applyNumberFormat="1" applyFont="1" applyFill="1" applyBorder="1" applyAlignment="1">
      <alignment horizontal="center" wrapText="1"/>
    </xf>
    <xf numFmtId="164" fontId="0" fillId="0" borderId="1" xfId="0" applyNumberFormat="1" applyFont="1" applyFill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wrapText="1"/>
    </xf>
    <xf numFmtId="0" fontId="4" fillId="0" borderId="1" xfId="0" applyFont="1" applyFill="1" applyBorder="1" applyAlignment="1">
      <alignment wrapText="1"/>
    </xf>
    <xf numFmtId="0" fontId="10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7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textRotation="90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3" fillId="0" borderId="1" xfId="0" applyNumberFormat="1" applyFont="1" applyFill="1" applyBorder="1" applyAlignment="1">
      <alignment vertical="top" wrapText="1"/>
    </xf>
    <xf numFmtId="49" fontId="14" fillId="0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 wrapText="1"/>
    </xf>
    <xf numFmtId="0" fontId="14" fillId="0" borderId="0" xfId="0" applyFont="1" applyFill="1" applyAlignment="1">
      <alignment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49" fontId="11" fillId="2" borderId="1" xfId="0" applyNumberFormat="1" applyFont="1" applyFill="1" applyBorder="1" applyAlignment="1">
      <alignment horizontal="center" wrapText="1"/>
    </xf>
    <xf numFmtId="164" fontId="11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6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wrapText="1"/>
    </xf>
    <xf numFmtId="0" fontId="15" fillId="0" borderId="0" xfId="0" applyFont="1" applyFill="1" applyAlignment="1">
      <alignment wrapText="1"/>
    </xf>
    <xf numFmtId="0" fontId="2" fillId="0" borderId="1" xfId="0" applyFont="1" applyFill="1" applyBorder="1" applyAlignment="1">
      <alignment wrapText="1"/>
    </xf>
    <xf numFmtId="49" fontId="4" fillId="0" borderId="2" xfId="0" applyNumberFormat="1" applyFont="1" applyFill="1" applyBorder="1" applyAlignment="1">
      <alignment horizontal="center" wrapText="1"/>
    </xf>
    <xf numFmtId="164" fontId="0" fillId="0" borderId="0" xfId="0" applyNumberFormat="1" applyFont="1" applyFill="1" applyAlignment="1">
      <alignment horizontal="center" wrapText="1"/>
    </xf>
    <xf numFmtId="0" fontId="8" fillId="0" borderId="1" xfId="0" applyFont="1" applyFill="1" applyBorder="1" applyAlignment="1">
      <alignment wrapText="1"/>
    </xf>
    <xf numFmtId="165" fontId="0" fillId="0" borderId="0" xfId="0" applyNumberFormat="1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13" fillId="0" borderId="1" xfId="0" applyNumberFormat="1" applyFont="1" applyFill="1" applyBorder="1" applyAlignment="1">
      <alignment wrapText="1"/>
    </xf>
    <xf numFmtId="0" fontId="8" fillId="0" borderId="1" xfId="0" applyNumberFormat="1" applyFont="1" applyFill="1" applyBorder="1" applyAlignment="1">
      <alignment vertical="top" wrapText="1"/>
    </xf>
    <xf numFmtId="0" fontId="16" fillId="0" borderId="0" xfId="0" applyFont="1" applyFill="1" applyAlignment="1">
      <alignment horizontal="right" vertical="top" wrapText="1"/>
    </xf>
    <xf numFmtId="166" fontId="0" fillId="0" borderId="0" xfId="0" applyNumberFormat="1" applyFont="1" applyFill="1" applyAlignment="1">
      <alignment horizontal="center" wrapText="1"/>
    </xf>
    <xf numFmtId="49" fontId="0" fillId="0" borderId="2" xfId="0" applyNumberFormat="1" applyFont="1" applyFill="1" applyBorder="1" applyAlignment="1">
      <alignment horizontal="center" wrapText="1"/>
    </xf>
    <xf numFmtId="0" fontId="14" fillId="0" borderId="6" xfId="0" applyFont="1" applyFill="1" applyBorder="1" applyAlignment="1">
      <alignment wrapText="1"/>
    </xf>
    <xf numFmtId="0" fontId="8" fillId="0" borderId="1" xfId="0" applyFont="1" applyFill="1" applyBorder="1" applyAlignment="1">
      <alignment vertical="center" wrapText="1"/>
    </xf>
    <xf numFmtId="164" fontId="17" fillId="2" borderId="1" xfId="0" applyNumberFormat="1" applyFont="1" applyFill="1" applyBorder="1" applyAlignment="1">
      <alignment horizontal="right" vertical="center" indent="1"/>
    </xf>
    <xf numFmtId="0" fontId="18" fillId="0" borderId="1" xfId="0" applyFont="1" applyFill="1" applyBorder="1" applyAlignment="1">
      <alignment horizont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wrapText="1"/>
    </xf>
    <xf numFmtId="0" fontId="14" fillId="0" borderId="7" xfId="0" applyFont="1" applyFill="1" applyBorder="1" applyAlignment="1">
      <alignment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49" fontId="4" fillId="3" borderId="1" xfId="0" applyNumberFormat="1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0" fontId="0" fillId="3" borderId="0" xfId="0" applyFont="1" applyFill="1" applyAlignment="1">
      <alignment wrapText="1"/>
    </xf>
    <xf numFmtId="0" fontId="14" fillId="3" borderId="1" xfId="0" applyFont="1" applyFill="1" applyBorder="1" applyAlignment="1">
      <alignment wrapText="1"/>
    </xf>
    <xf numFmtId="49" fontId="14" fillId="3" borderId="1" xfId="0" applyNumberFormat="1" applyFont="1" applyFill="1" applyBorder="1" applyAlignment="1">
      <alignment horizontal="center" wrapText="1"/>
    </xf>
    <xf numFmtId="164" fontId="14" fillId="3" borderId="1" xfId="0" applyNumberFormat="1" applyFont="1" applyFill="1" applyBorder="1" applyAlignment="1">
      <alignment horizontal="center" wrapText="1"/>
    </xf>
    <xf numFmtId="0" fontId="14" fillId="3" borderId="0" xfId="0" applyFont="1" applyFill="1" applyAlignment="1">
      <alignment wrapText="1"/>
    </xf>
    <xf numFmtId="0" fontId="0" fillId="3" borderId="1" xfId="0" applyFont="1" applyFill="1" applyBorder="1" applyAlignment="1">
      <alignment wrapText="1"/>
    </xf>
    <xf numFmtId="49" fontId="0" fillId="3" borderId="1" xfId="0" applyNumberFormat="1" applyFont="1" applyFill="1" applyBorder="1" applyAlignment="1">
      <alignment horizontal="center" wrapText="1"/>
    </xf>
    <xf numFmtId="164" fontId="0" fillId="3" borderId="1" xfId="0" applyNumberFormat="1" applyFont="1" applyFill="1" applyBorder="1" applyAlignment="1">
      <alignment horizontal="center" wrapText="1"/>
    </xf>
    <xf numFmtId="0" fontId="9" fillId="0" borderId="5" xfId="0" applyNumberFormat="1" applyFont="1" applyFill="1" applyBorder="1" applyAlignment="1">
      <alignment horizontal="right" vertical="top" wrapText="1"/>
    </xf>
    <xf numFmtId="0" fontId="10" fillId="0" borderId="0" xfId="0" applyFont="1" applyFill="1" applyAlignment="1">
      <alignment horizontal="right" wrapText="1"/>
    </xf>
    <xf numFmtId="0" fontId="10" fillId="0" borderId="0" xfId="0" applyNumberFormat="1" applyFont="1" applyFill="1" applyAlignment="1">
      <alignment horizontal="center" vertical="top" wrapText="1"/>
    </xf>
    <xf numFmtId="0" fontId="19" fillId="0" borderId="0" xfId="0" applyFont="1" applyFill="1" applyAlignment="1">
      <alignment horizontal="right" wrapText="1"/>
    </xf>
    <xf numFmtId="0" fontId="0" fillId="0" borderId="0" xfId="0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164" fontId="0" fillId="0" borderId="0" xfId="0" applyNumberFormat="1" applyFont="1" applyFill="1" applyAlignment="1">
      <alignment horizontal="right"/>
    </xf>
  </cellXfs>
  <cellStyles count="2">
    <cellStyle name="Обычный" xfId="0" builtinId="0"/>
    <cellStyle name="Обычный 2" xfId="1"/>
  </cellStyles>
  <dxfs count="1">
    <dxf>
      <fill>
        <patternFill patternType="solid">
          <fgColor rgb="FFE4DFEC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.%205%20&#1082;%20&#1088;&#1077;&#1096;&#1077;&#1085;&#1080;&#1102;%20-%20&#1088;&#1072;&#1089;&#1093;&#1086;&#1076;&#1099;%20&#1087;&#1086;%20&#1074;&#1077;&#1076;%20&#1089;&#1090;&#1088;&#1091;&#1082;&#1090;%202018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.%206%20&#1082;%20&#1088;&#1077;&#1096;&#1077;&#1085;&#1080;&#1102;%20-%20&#1088;&#1072;&#1089;&#1093;&#1086;&#1076;&#1099;%20&#1087;&#1086;%20&#1074;&#1077;&#1076;%20&#1089;&#1090;&#1088;&#1091;&#1082;&#1090;%202018-20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.%204%20&#1082;%20&#1088;&#1077;&#1096;&#1077;&#1085;&#1080;&#1102;%20-%20&#1088;&#1072;&#1089;&#1093;&#1086;&#1076;&#1099;%20&#1087;&#1086;%20&#1074;&#1077;&#1076;%20&#1089;&#1090;&#1088;&#1091;&#1082;&#1090;%202018-2020%20&#1080;&#1079;&#1084;%20&#1084;&#1072;&#108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.%205%20&#1082;%20&#1088;&#1077;&#1096;&#1077;&#1085;&#1080;&#1102;%20-%20&#1088;&#1072;&#1089;&#1093;&#1086;&#1076;&#1099;%20&#1087;&#1086;%20&#1074;&#1077;&#1076;%20&#1089;&#1090;&#1088;&#1091;&#1082;&#1090;%202018-2020%20&#1080;&#1079;&#1084;%20&#1084;&#1072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ый"/>
      <sheetName val="первоначальный 1 в снд"/>
      <sheetName val="перечень ПНО"/>
    </sheetNames>
    <sheetDataSet>
      <sheetData sheetId="0" refreshError="1">
        <row r="603">
          <cell r="G603">
            <v>2507048.4</v>
          </cell>
          <cell r="H603">
            <v>2241776.2000000002</v>
          </cell>
          <cell r="I603">
            <v>2211321.6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ый"/>
      <sheetName val="первоначальный 1 в снд"/>
      <sheetName val="первоначальный 2 с субс"/>
      <sheetName val="перечень ПНО"/>
    </sheetNames>
    <sheetDataSet>
      <sheetData sheetId="0" refreshError="1"/>
      <sheetData sheetId="1" refreshError="1"/>
      <sheetData sheetId="2" refreshError="1">
        <row r="530">
          <cell r="G530">
            <v>2619531.4000000004</v>
          </cell>
          <cell r="H530">
            <v>2338074.6</v>
          </cell>
          <cell r="I530">
            <v>2308087.0999999996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ый"/>
      <sheetName val="изменения май"/>
      <sheetName val="изменения май СНД"/>
    </sheetNames>
    <sheetDataSet>
      <sheetData sheetId="0"/>
      <sheetData sheetId="1">
        <row r="572">
          <cell r="G572">
            <v>2984341.0494300006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ый"/>
      <sheetName val="изменения май"/>
      <sheetName val="изменения май СНД"/>
    </sheetNames>
    <sheetDataSet>
      <sheetData sheetId="0" refreshError="1"/>
      <sheetData sheetId="1" refreshError="1">
        <row r="568">
          <cell r="G568">
            <v>2902341.0494299997</v>
          </cell>
          <cell r="H568">
            <v>2338074.6</v>
          </cell>
          <cell r="I568">
            <v>2308087.0999999996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4"/>
  <sheetViews>
    <sheetView topLeftCell="A185" workbookViewId="0">
      <selection activeCell="H474" sqref="H474"/>
    </sheetView>
  </sheetViews>
  <sheetFormatPr defaultRowHeight="12.75" x14ac:dyDescent="0.2"/>
  <cols>
    <col min="1" max="1" width="61.140625" style="13" customWidth="1"/>
    <col min="2" max="2" width="4.85546875" style="45" customWidth="1"/>
    <col min="3" max="3" width="6.140625" style="45" customWidth="1"/>
    <col min="4" max="4" width="16.85546875" style="45" customWidth="1"/>
    <col min="5" max="5" width="5.85546875" style="45" customWidth="1"/>
    <col min="6" max="7" width="14.85546875" style="45" customWidth="1"/>
    <col min="8" max="8" width="17" style="45" customWidth="1"/>
    <col min="9" max="9" width="14.7109375" style="13" customWidth="1"/>
    <col min="10" max="16384" width="9.140625" style="13"/>
  </cols>
  <sheetData>
    <row r="1" spans="1:8" ht="14.25" x14ac:dyDescent="0.3">
      <c r="A1" s="74" t="s">
        <v>75</v>
      </c>
      <c r="B1" s="74" t="s">
        <v>358</v>
      </c>
      <c r="C1" s="74" t="s">
        <v>358</v>
      </c>
      <c r="D1" s="74" t="s">
        <v>358</v>
      </c>
      <c r="E1" s="74" t="s">
        <v>358</v>
      </c>
      <c r="F1" s="74" t="s">
        <v>358</v>
      </c>
      <c r="G1" s="74" t="s">
        <v>358</v>
      </c>
      <c r="H1" s="74" t="s">
        <v>358</v>
      </c>
    </row>
    <row r="2" spans="1:8" ht="14.25" x14ac:dyDescent="0.3">
      <c r="A2" s="74" t="s">
        <v>70</v>
      </c>
      <c r="B2" s="74" t="s">
        <v>70</v>
      </c>
      <c r="C2" s="74" t="s">
        <v>70</v>
      </c>
      <c r="D2" s="74" t="s">
        <v>70</v>
      </c>
      <c r="E2" s="74" t="s">
        <v>70</v>
      </c>
      <c r="F2" s="74" t="s">
        <v>70</v>
      </c>
      <c r="G2" s="74" t="s">
        <v>70</v>
      </c>
      <c r="H2" s="74" t="s">
        <v>70</v>
      </c>
    </row>
    <row r="3" spans="1:8" ht="14.25" x14ac:dyDescent="0.3">
      <c r="A3" s="74" t="s">
        <v>359</v>
      </c>
      <c r="B3" s="74" t="s">
        <v>359</v>
      </c>
      <c r="C3" s="74" t="s">
        <v>359</v>
      </c>
      <c r="D3" s="74" t="s">
        <v>359</v>
      </c>
      <c r="E3" s="74" t="s">
        <v>359</v>
      </c>
      <c r="F3" s="74" t="s">
        <v>359</v>
      </c>
      <c r="G3" s="74" t="s">
        <v>359</v>
      </c>
      <c r="H3" s="74" t="s">
        <v>359</v>
      </c>
    </row>
    <row r="4" spans="1:8" x14ac:dyDescent="0.2">
      <c r="A4" s="31"/>
      <c r="B4" s="31"/>
      <c r="C4" s="31"/>
      <c r="D4" s="31"/>
      <c r="E4" s="32"/>
      <c r="F4" s="31"/>
      <c r="G4" s="31"/>
      <c r="H4" s="31"/>
    </row>
    <row r="5" spans="1:8" s="15" customFormat="1" ht="75" customHeight="1" x14ac:dyDescent="0.2">
      <c r="A5" s="75" t="s">
        <v>371</v>
      </c>
      <c r="B5" s="75"/>
      <c r="C5" s="75"/>
      <c r="D5" s="75"/>
      <c r="E5" s="75"/>
      <c r="F5" s="75"/>
      <c r="G5" s="75"/>
      <c r="H5" s="75"/>
    </row>
    <row r="6" spans="1:8" s="15" customFormat="1" ht="9.75" customHeight="1" x14ac:dyDescent="0.2">
      <c r="A6" s="75"/>
      <c r="B6" s="75"/>
      <c r="C6" s="75"/>
      <c r="D6" s="75"/>
      <c r="E6" s="75"/>
      <c r="F6" s="75"/>
    </row>
    <row r="7" spans="1:8" s="16" customFormat="1" ht="12" thickBot="1" x14ac:dyDescent="0.25">
      <c r="A7" s="73"/>
      <c r="B7" s="73"/>
      <c r="C7" s="73"/>
      <c r="D7" s="73"/>
      <c r="E7" s="73"/>
      <c r="F7" s="73"/>
      <c r="H7" s="48" t="s">
        <v>7</v>
      </c>
    </row>
    <row r="8" spans="1:8" ht="42.75" x14ac:dyDescent="0.2">
      <c r="A8" s="17"/>
      <c r="B8" s="18" t="s">
        <v>22</v>
      </c>
      <c r="C8" s="18" t="s">
        <v>3</v>
      </c>
      <c r="D8" s="18" t="s">
        <v>23</v>
      </c>
      <c r="E8" s="18" t="s">
        <v>24</v>
      </c>
      <c r="F8" s="19" t="s">
        <v>133</v>
      </c>
      <c r="G8" s="19" t="s">
        <v>132</v>
      </c>
      <c r="H8" s="19" t="s">
        <v>372</v>
      </c>
    </row>
    <row r="9" spans="1:8" s="56" customFormat="1" ht="12" x14ac:dyDescent="0.2">
      <c r="A9" s="54">
        <v>1</v>
      </c>
      <c r="B9" s="57">
        <v>2</v>
      </c>
      <c r="C9" s="57">
        <v>3</v>
      </c>
      <c r="D9" s="57">
        <v>4</v>
      </c>
      <c r="E9" s="57">
        <v>5</v>
      </c>
      <c r="F9" s="55">
        <v>6</v>
      </c>
      <c r="G9" s="55">
        <v>7</v>
      </c>
      <c r="H9" s="55">
        <v>8</v>
      </c>
    </row>
    <row r="10" spans="1:8" s="21" customFormat="1" ht="15.75" x14ac:dyDescent="0.25">
      <c r="A10" s="35" t="s">
        <v>4</v>
      </c>
      <c r="B10" s="33" t="s">
        <v>25</v>
      </c>
      <c r="C10" s="33" t="s">
        <v>26</v>
      </c>
      <c r="D10" s="33"/>
      <c r="E10" s="33"/>
      <c r="F10" s="34">
        <f>F11+F14+F23+F40+F47+F50+F37</f>
        <v>127570.40000000001</v>
      </c>
      <c r="G10" s="34">
        <f t="shared" ref="G10:H10" si="0">G11+G14+G23+G40+G47+G50+G37</f>
        <v>106243.30000000002</v>
      </c>
      <c r="H10" s="34">
        <f t="shared" si="0"/>
        <v>106243.30000000002</v>
      </c>
    </row>
    <row r="11" spans="1:8" s="4" customFormat="1" ht="25.5" x14ac:dyDescent="0.2">
      <c r="A11" s="14" t="s">
        <v>27</v>
      </c>
      <c r="B11" s="11" t="s">
        <v>25</v>
      </c>
      <c r="C11" s="11" t="s">
        <v>28</v>
      </c>
      <c r="D11" s="11"/>
      <c r="E11" s="11"/>
      <c r="F11" s="12">
        <f t="shared" ref="F11:H12" si="1">F12</f>
        <v>1527</v>
      </c>
      <c r="G11" s="12">
        <f t="shared" si="1"/>
        <v>1527</v>
      </c>
      <c r="H11" s="12">
        <f t="shared" si="1"/>
        <v>1527</v>
      </c>
    </row>
    <row r="12" spans="1:8" ht="25.5" x14ac:dyDescent="0.2">
      <c r="A12" s="10" t="s">
        <v>348</v>
      </c>
      <c r="B12" s="8" t="s">
        <v>25</v>
      </c>
      <c r="C12" s="8" t="s">
        <v>28</v>
      </c>
      <c r="D12" s="8" t="s">
        <v>134</v>
      </c>
      <c r="E12" s="8"/>
      <c r="F12" s="9">
        <f>F13</f>
        <v>1527</v>
      </c>
      <c r="G12" s="9">
        <f t="shared" si="1"/>
        <v>1527</v>
      </c>
      <c r="H12" s="9">
        <f t="shared" si="1"/>
        <v>1527</v>
      </c>
    </row>
    <row r="13" spans="1:8" s="26" customFormat="1" ht="51" x14ac:dyDescent="0.2">
      <c r="A13" s="22" t="s">
        <v>9</v>
      </c>
      <c r="B13" s="23" t="s">
        <v>25</v>
      </c>
      <c r="C13" s="23" t="s">
        <v>28</v>
      </c>
      <c r="D13" s="23" t="s">
        <v>134</v>
      </c>
      <c r="E13" s="24" t="s">
        <v>10</v>
      </c>
      <c r="F13" s="25">
        <f>1132.8+50+342.1+2.1</f>
        <v>1527</v>
      </c>
      <c r="G13" s="25">
        <f>1132.8+50+342.1+2.1</f>
        <v>1527</v>
      </c>
      <c r="H13" s="25">
        <f>1132.8+50+342.1+2.1</f>
        <v>1527</v>
      </c>
    </row>
    <row r="14" spans="1:8" s="26" customFormat="1" ht="38.25" x14ac:dyDescent="0.2">
      <c r="A14" s="14" t="s">
        <v>29</v>
      </c>
      <c r="B14" s="11" t="s">
        <v>25</v>
      </c>
      <c r="C14" s="11" t="s">
        <v>30</v>
      </c>
      <c r="D14" s="11"/>
      <c r="E14" s="11"/>
      <c r="F14" s="12">
        <f>F15+F19+F21</f>
        <v>6300.7999999999993</v>
      </c>
      <c r="G14" s="12">
        <f>G15+G19+G21</f>
        <v>6300.7999999999993</v>
      </c>
      <c r="H14" s="12">
        <f>H15+H19+H21</f>
        <v>6300.7999999999993</v>
      </c>
    </row>
    <row r="15" spans="1:8" x14ac:dyDescent="0.2">
      <c r="A15" s="10" t="s">
        <v>135</v>
      </c>
      <c r="B15" s="8" t="s">
        <v>25</v>
      </c>
      <c r="C15" s="8" t="s">
        <v>30</v>
      </c>
      <c r="D15" s="8" t="s">
        <v>136</v>
      </c>
      <c r="E15" s="8"/>
      <c r="F15" s="9">
        <f>F16+F17+F18</f>
        <v>2463.4</v>
      </c>
      <c r="G15" s="9">
        <f>G16+G17+G18</f>
        <v>2463.4</v>
      </c>
      <c r="H15" s="9">
        <f>H16+H17+H18</f>
        <v>2463.4</v>
      </c>
    </row>
    <row r="16" spans="1:8" s="26" customFormat="1" ht="51" x14ac:dyDescent="0.2">
      <c r="A16" s="22" t="s">
        <v>9</v>
      </c>
      <c r="B16" s="23" t="s">
        <v>25</v>
      </c>
      <c r="C16" s="23" t="s">
        <v>30</v>
      </c>
      <c r="D16" s="23" t="s">
        <v>136</v>
      </c>
      <c r="E16" s="24" t="s">
        <v>10</v>
      </c>
      <c r="F16" s="25">
        <f>1684+508.6+20</f>
        <v>2212.6</v>
      </c>
      <c r="G16" s="25">
        <f>1684+508.6+20</f>
        <v>2212.6</v>
      </c>
      <c r="H16" s="25">
        <f>1684+508.6+20</f>
        <v>2212.6</v>
      </c>
    </row>
    <row r="17" spans="1:12" s="4" customFormat="1" ht="25.5" x14ac:dyDescent="0.2">
      <c r="A17" s="27" t="s">
        <v>20</v>
      </c>
      <c r="B17" s="23" t="s">
        <v>25</v>
      </c>
      <c r="C17" s="23" t="s">
        <v>30</v>
      </c>
      <c r="D17" s="23" t="s">
        <v>136</v>
      </c>
      <c r="E17" s="24" t="s">
        <v>12</v>
      </c>
      <c r="F17" s="25">
        <f>65.7+1.5+16.5+7.7+10.7+10+15.1+20.1+101.5</f>
        <v>248.8</v>
      </c>
      <c r="G17" s="25">
        <f>65.7+1.5+16.5+7.7+10.7+10+15.1+20.1+101.5</f>
        <v>248.8</v>
      </c>
      <c r="H17" s="25">
        <f>65.7+1.5+16.5+7.7+10.7+10+15.1+20.1+101.5</f>
        <v>248.8</v>
      </c>
    </row>
    <row r="18" spans="1:12" x14ac:dyDescent="0.2">
      <c r="A18" s="27" t="s">
        <v>16</v>
      </c>
      <c r="B18" s="23" t="s">
        <v>25</v>
      </c>
      <c r="C18" s="23" t="s">
        <v>30</v>
      </c>
      <c r="D18" s="23" t="s">
        <v>136</v>
      </c>
      <c r="E18" s="23" t="s">
        <v>17</v>
      </c>
      <c r="F18" s="25">
        <v>2</v>
      </c>
      <c r="G18" s="25">
        <v>2</v>
      </c>
      <c r="H18" s="25">
        <v>2</v>
      </c>
    </row>
    <row r="19" spans="1:12" s="26" customFormat="1" ht="25.5" x14ac:dyDescent="0.2">
      <c r="A19" s="10" t="s">
        <v>138</v>
      </c>
      <c r="B19" s="8" t="s">
        <v>25</v>
      </c>
      <c r="C19" s="8" t="s">
        <v>30</v>
      </c>
      <c r="D19" s="8" t="s">
        <v>137</v>
      </c>
      <c r="E19" s="8"/>
      <c r="F19" s="9">
        <f>F20</f>
        <v>1316.1000000000001</v>
      </c>
      <c r="G19" s="9">
        <f>G20</f>
        <v>1316.1000000000001</v>
      </c>
      <c r="H19" s="9">
        <f>H20</f>
        <v>1316.1000000000001</v>
      </c>
    </row>
    <row r="20" spans="1:12" s="7" customFormat="1" ht="51" x14ac:dyDescent="0.2">
      <c r="A20" s="22" t="s">
        <v>9</v>
      </c>
      <c r="B20" s="23" t="s">
        <v>25</v>
      </c>
      <c r="C20" s="23" t="s">
        <v>30</v>
      </c>
      <c r="D20" s="23" t="s">
        <v>137</v>
      </c>
      <c r="E20" s="24" t="s">
        <v>10</v>
      </c>
      <c r="F20" s="25">
        <f>1001.1+302.3+12.7</f>
        <v>1316.1000000000001</v>
      </c>
      <c r="G20" s="25">
        <f>1001.1+302.3+12.7</f>
        <v>1316.1000000000001</v>
      </c>
      <c r="H20" s="25">
        <f>1001.1+302.3+12.7</f>
        <v>1316.1000000000001</v>
      </c>
    </row>
    <row r="21" spans="1:12" s="39" customFormat="1" x14ac:dyDescent="0.2">
      <c r="A21" s="10" t="s">
        <v>346</v>
      </c>
      <c r="B21" s="8" t="s">
        <v>25</v>
      </c>
      <c r="C21" s="8" t="s">
        <v>30</v>
      </c>
      <c r="D21" s="8" t="s">
        <v>139</v>
      </c>
      <c r="E21" s="8"/>
      <c r="F21" s="9">
        <f>F22</f>
        <v>2521.2999999999997</v>
      </c>
      <c r="G21" s="9">
        <f>G22</f>
        <v>2521.2999999999997</v>
      </c>
      <c r="H21" s="9">
        <f>H22</f>
        <v>2521.2999999999997</v>
      </c>
    </row>
    <row r="22" spans="1:12" ht="51" x14ac:dyDescent="0.2">
      <c r="A22" s="22" t="s">
        <v>9</v>
      </c>
      <c r="B22" s="23" t="s">
        <v>25</v>
      </c>
      <c r="C22" s="23" t="s">
        <v>30</v>
      </c>
      <c r="D22" s="23" t="s">
        <v>139</v>
      </c>
      <c r="E22" s="24" t="s">
        <v>10</v>
      </c>
      <c r="F22" s="25">
        <f>615.8+1710.9+186+8.6</f>
        <v>2521.2999999999997</v>
      </c>
      <c r="G22" s="25">
        <f>615.8+1710.9+186+8.6</f>
        <v>2521.2999999999997</v>
      </c>
      <c r="H22" s="25">
        <f>615.8+1710.9+186+8.6</f>
        <v>2521.2999999999997</v>
      </c>
    </row>
    <row r="23" spans="1:12" s="26" customFormat="1" ht="38.25" x14ac:dyDescent="0.2">
      <c r="A23" s="14" t="s">
        <v>31</v>
      </c>
      <c r="B23" s="11" t="s">
        <v>25</v>
      </c>
      <c r="C23" s="11" t="s">
        <v>32</v>
      </c>
      <c r="D23" s="11"/>
      <c r="E23" s="11"/>
      <c r="F23" s="12">
        <f>F24+F27+F30+F34</f>
        <v>56184.500000000007</v>
      </c>
      <c r="G23" s="12">
        <f>G24+G27+G30+G34</f>
        <v>48184.500000000007</v>
      </c>
      <c r="H23" s="12">
        <f>H24+H27+H30+H34</f>
        <v>48184.500000000007</v>
      </c>
    </row>
    <row r="24" spans="1:12" ht="25.5" x14ac:dyDescent="0.2">
      <c r="A24" s="10" t="s">
        <v>140</v>
      </c>
      <c r="B24" s="8" t="s">
        <v>25</v>
      </c>
      <c r="C24" s="8" t="s">
        <v>32</v>
      </c>
      <c r="D24" s="8" t="s">
        <v>80</v>
      </c>
      <c r="E24" s="8"/>
      <c r="F24" s="9">
        <f>F25+F26</f>
        <v>347</v>
      </c>
      <c r="G24" s="9">
        <f>G25+G26</f>
        <v>347</v>
      </c>
      <c r="H24" s="9">
        <f>H25+H26</f>
        <v>347</v>
      </c>
    </row>
    <row r="25" spans="1:12" s="26" customFormat="1" ht="51" x14ac:dyDescent="0.2">
      <c r="A25" s="22" t="s">
        <v>9</v>
      </c>
      <c r="B25" s="23" t="s">
        <v>25</v>
      </c>
      <c r="C25" s="23" t="s">
        <v>32</v>
      </c>
      <c r="D25" s="23" t="s">
        <v>80</v>
      </c>
      <c r="E25" s="24" t="s">
        <v>10</v>
      </c>
      <c r="F25" s="25">
        <f>242.6+73.3+3</f>
        <v>318.89999999999998</v>
      </c>
      <c r="G25" s="25">
        <f>242.6+73.3+3</f>
        <v>318.89999999999998</v>
      </c>
      <c r="H25" s="25">
        <f>242.6+73.3+3</f>
        <v>318.89999999999998</v>
      </c>
    </row>
    <row r="26" spans="1:12" ht="25.5" x14ac:dyDescent="0.2">
      <c r="A26" s="27" t="s">
        <v>20</v>
      </c>
      <c r="B26" s="23" t="s">
        <v>25</v>
      </c>
      <c r="C26" s="23" t="s">
        <v>32</v>
      </c>
      <c r="D26" s="23" t="s">
        <v>80</v>
      </c>
      <c r="E26" s="24" t="s">
        <v>12</v>
      </c>
      <c r="F26" s="25">
        <f>13+15.1</f>
        <v>28.1</v>
      </c>
      <c r="G26" s="25">
        <f>13+15.1</f>
        <v>28.1</v>
      </c>
      <c r="H26" s="25">
        <f>13+15.1</f>
        <v>28.1</v>
      </c>
    </row>
    <row r="27" spans="1:12" s="26" customFormat="1" x14ac:dyDescent="0.2">
      <c r="A27" s="10" t="s">
        <v>141</v>
      </c>
      <c r="B27" s="8" t="s">
        <v>25</v>
      </c>
      <c r="C27" s="8" t="s">
        <v>32</v>
      </c>
      <c r="D27" s="8" t="s">
        <v>79</v>
      </c>
      <c r="E27" s="8"/>
      <c r="F27" s="9">
        <f>F28+F29</f>
        <v>115</v>
      </c>
      <c r="G27" s="9">
        <f t="shared" ref="G27:H27" si="2">G28+G29</f>
        <v>115</v>
      </c>
      <c r="H27" s="9">
        <f t="shared" si="2"/>
        <v>115</v>
      </c>
    </row>
    <row r="28" spans="1:12" s="26" customFormat="1" ht="51" x14ac:dyDescent="0.2">
      <c r="A28" s="22" t="s">
        <v>9</v>
      </c>
      <c r="B28" s="23" t="s">
        <v>25</v>
      </c>
      <c r="C28" s="23" t="s">
        <v>32</v>
      </c>
      <c r="D28" s="23" t="s">
        <v>79</v>
      </c>
      <c r="E28" s="24" t="s">
        <v>10</v>
      </c>
      <c r="F28" s="25">
        <f>82.7+25</f>
        <v>107.7</v>
      </c>
      <c r="G28" s="25">
        <f>82.7+25</f>
        <v>107.7</v>
      </c>
      <c r="H28" s="25">
        <f>82.7+25</f>
        <v>107.7</v>
      </c>
    </row>
    <row r="29" spans="1:12" s="26" customFormat="1" ht="25.5" x14ac:dyDescent="0.2">
      <c r="A29" s="46" t="s">
        <v>362</v>
      </c>
      <c r="B29" s="23" t="s">
        <v>25</v>
      </c>
      <c r="C29" s="23" t="s">
        <v>32</v>
      </c>
      <c r="D29" s="23" t="s">
        <v>79</v>
      </c>
      <c r="E29" s="24" t="s">
        <v>12</v>
      </c>
      <c r="F29" s="25">
        <v>7.3</v>
      </c>
      <c r="G29" s="25">
        <v>7.3</v>
      </c>
      <c r="H29" s="25">
        <v>7.3</v>
      </c>
      <c r="I29" s="13"/>
      <c r="J29" s="13"/>
      <c r="K29" s="13"/>
      <c r="L29" s="13"/>
    </row>
    <row r="30" spans="1:12" s="21" customFormat="1" ht="26.25" x14ac:dyDescent="0.25">
      <c r="A30" s="10" t="s">
        <v>348</v>
      </c>
      <c r="B30" s="8" t="s">
        <v>25</v>
      </c>
      <c r="C30" s="8" t="s">
        <v>32</v>
      </c>
      <c r="D30" s="8" t="s">
        <v>142</v>
      </c>
      <c r="E30" s="8"/>
      <c r="F30" s="9">
        <f>F31+F32+F33</f>
        <v>52448.400000000009</v>
      </c>
      <c r="G30" s="9">
        <f>G31+G32+G33</f>
        <v>44448.400000000009</v>
      </c>
      <c r="H30" s="9">
        <f>H31+H32+H33</f>
        <v>44448.400000000009</v>
      </c>
    </row>
    <row r="31" spans="1:12" s="4" customFormat="1" ht="51" x14ac:dyDescent="0.2">
      <c r="A31" s="22" t="s">
        <v>9</v>
      </c>
      <c r="B31" s="23" t="s">
        <v>25</v>
      </c>
      <c r="C31" s="23" t="s">
        <v>32</v>
      </c>
      <c r="D31" s="23" t="s">
        <v>142</v>
      </c>
      <c r="E31" s="24" t="s">
        <v>10</v>
      </c>
      <c r="F31" s="25">
        <f>24727.4+7467.7+70+321.6</f>
        <v>32586.7</v>
      </c>
      <c r="G31" s="25">
        <f>24727.4+7467.7+70+321.6</f>
        <v>32586.7</v>
      </c>
      <c r="H31" s="25">
        <f>24727.4+7467.7+70+321.6</f>
        <v>32586.7</v>
      </c>
    </row>
    <row r="32" spans="1:12" ht="25.5" x14ac:dyDescent="0.2">
      <c r="A32" s="27" t="s">
        <v>20</v>
      </c>
      <c r="B32" s="23" t="s">
        <v>25</v>
      </c>
      <c r="C32" s="23" t="s">
        <v>32</v>
      </c>
      <c r="D32" s="23" t="s">
        <v>142</v>
      </c>
      <c r="E32" s="24" t="s">
        <v>12</v>
      </c>
      <c r="F32" s="25">
        <f>800+980.8+300+100+50+30+2191.3+50+20+4+300+2752+8000+3409.3+10+100+500</f>
        <v>19597.400000000001</v>
      </c>
      <c r="G32" s="25">
        <f>800+980.8+300+100+50+30+2191.3+50+20+4+300+2752+3409.3+10+100+500</f>
        <v>11597.400000000001</v>
      </c>
      <c r="H32" s="25">
        <f>800+980.8+300+100+50+30+2191.3+50+20+4+300+2752+3409.3+10+100+500</f>
        <v>11597.400000000001</v>
      </c>
    </row>
    <row r="33" spans="1:12" s="26" customFormat="1" x14ac:dyDescent="0.2">
      <c r="A33" s="27" t="s">
        <v>16</v>
      </c>
      <c r="B33" s="23" t="s">
        <v>25</v>
      </c>
      <c r="C33" s="23" t="s">
        <v>32</v>
      </c>
      <c r="D33" s="23" t="s">
        <v>142</v>
      </c>
      <c r="E33" s="23" t="s">
        <v>17</v>
      </c>
      <c r="F33" s="25">
        <f>10+154.3+50+50</f>
        <v>264.3</v>
      </c>
      <c r="G33" s="25">
        <f>10+154.3+50+50</f>
        <v>264.3</v>
      </c>
      <c r="H33" s="25">
        <f>10+154.3+50+50</f>
        <v>264.3</v>
      </c>
    </row>
    <row r="34" spans="1:12" s="20" customFormat="1" ht="25.5" x14ac:dyDescent="0.2">
      <c r="A34" s="10" t="s">
        <v>348</v>
      </c>
      <c r="B34" s="8" t="s">
        <v>25</v>
      </c>
      <c r="C34" s="8" t="s">
        <v>32</v>
      </c>
      <c r="D34" s="8" t="s">
        <v>143</v>
      </c>
      <c r="E34" s="8"/>
      <c r="F34" s="9">
        <f>F35+F36</f>
        <v>3274.1</v>
      </c>
      <c r="G34" s="9">
        <f>G35+G36</f>
        <v>3274.1</v>
      </c>
      <c r="H34" s="9">
        <f>H35+H36</f>
        <v>3274.1</v>
      </c>
    </row>
    <row r="35" spans="1:12" s="4" customFormat="1" ht="51" x14ac:dyDescent="0.2">
      <c r="A35" s="22" t="s">
        <v>9</v>
      </c>
      <c r="B35" s="23" t="s">
        <v>25</v>
      </c>
      <c r="C35" s="23" t="s">
        <v>32</v>
      </c>
      <c r="D35" s="8" t="s">
        <v>143</v>
      </c>
      <c r="E35" s="24" t="s">
        <v>10</v>
      </c>
      <c r="F35" s="25">
        <f>2378.7+718.4+29.8</f>
        <v>3126.9</v>
      </c>
      <c r="G35" s="25">
        <f>2378.7+718.4+29.8</f>
        <v>3126.9</v>
      </c>
      <c r="H35" s="25">
        <f>2378.7+718.4+29.8</f>
        <v>3126.9</v>
      </c>
    </row>
    <row r="36" spans="1:12" ht="25.5" x14ac:dyDescent="0.2">
      <c r="A36" s="27" t="s">
        <v>20</v>
      </c>
      <c r="B36" s="23" t="s">
        <v>25</v>
      </c>
      <c r="C36" s="23" t="s">
        <v>32</v>
      </c>
      <c r="D36" s="8" t="s">
        <v>143</v>
      </c>
      <c r="E36" s="24" t="s">
        <v>12</v>
      </c>
      <c r="F36" s="25">
        <f>20+5+1+10+111.2</f>
        <v>147.19999999999999</v>
      </c>
      <c r="G36" s="25">
        <f>20+5+1+10+111.2</f>
        <v>147.19999999999999</v>
      </c>
      <c r="H36" s="25">
        <f>20+5+1+10+111.2</f>
        <v>147.19999999999999</v>
      </c>
    </row>
    <row r="37" spans="1:12" s="4" customFormat="1" x14ac:dyDescent="0.2">
      <c r="A37" s="14" t="s">
        <v>377</v>
      </c>
      <c r="B37" s="11" t="s">
        <v>25</v>
      </c>
      <c r="C37" s="11" t="s">
        <v>44</v>
      </c>
      <c r="D37" s="11"/>
      <c r="E37" s="11"/>
      <c r="F37" s="12">
        <f>F38</f>
        <v>196.3</v>
      </c>
      <c r="G37" s="12">
        <f t="shared" ref="G37:H38" si="3">G38</f>
        <v>0</v>
      </c>
      <c r="H37" s="12">
        <f t="shared" si="3"/>
        <v>0</v>
      </c>
    </row>
    <row r="38" spans="1:12" ht="45.75" customHeight="1" x14ac:dyDescent="0.2">
      <c r="A38" s="10" t="s">
        <v>378</v>
      </c>
      <c r="B38" s="8" t="s">
        <v>25</v>
      </c>
      <c r="C38" s="8" t="s">
        <v>44</v>
      </c>
      <c r="D38" s="8" t="s">
        <v>379</v>
      </c>
      <c r="E38" s="8"/>
      <c r="F38" s="9">
        <f>F39</f>
        <v>196.3</v>
      </c>
      <c r="G38" s="9">
        <f t="shared" si="3"/>
        <v>0</v>
      </c>
      <c r="H38" s="9">
        <f t="shared" si="3"/>
        <v>0</v>
      </c>
    </row>
    <row r="39" spans="1:12" s="26" customFormat="1" ht="25.5" x14ac:dyDescent="0.2">
      <c r="A39" s="46" t="s">
        <v>362</v>
      </c>
      <c r="B39" s="23" t="s">
        <v>25</v>
      </c>
      <c r="C39" s="23" t="s">
        <v>44</v>
      </c>
      <c r="D39" s="8" t="s">
        <v>379</v>
      </c>
      <c r="E39" s="24" t="s">
        <v>12</v>
      </c>
      <c r="F39" s="25">
        <v>196.3</v>
      </c>
      <c r="G39" s="25">
        <v>0</v>
      </c>
      <c r="H39" s="25">
        <v>0</v>
      </c>
      <c r="I39" s="13"/>
      <c r="J39" s="13"/>
      <c r="K39" s="13"/>
      <c r="L39" s="13"/>
    </row>
    <row r="40" spans="1:12" s="20" customFormat="1" ht="38.25" x14ac:dyDescent="0.2">
      <c r="A40" s="14" t="s">
        <v>73</v>
      </c>
      <c r="B40" s="11" t="s">
        <v>25</v>
      </c>
      <c r="C40" s="11" t="s">
        <v>56</v>
      </c>
      <c r="D40" s="11"/>
      <c r="E40" s="11"/>
      <c r="F40" s="12">
        <f>F41+F45</f>
        <v>2115.3999999999996</v>
      </c>
      <c r="G40" s="12">
        <f>G41+G45</f>
        <v>2115.3999999999996</v>
      </c>
      <c r="H40" s="12">
        <f>H41+H45</f>
        <v>2115.3999999999996</v>
      </c>
    </row>
    <row r="41" spans="1:12" s="4" customFormat="1" x14ac:dyDescent="0.2">
      <c r="A41" s="10" t="s">
        <v>135</v>
      </c>
      <c r="B41" s="8" t="s">
        <v>25</v>
      </c>
      <c r="C41" s="8" t="s">
        <v>56</v>
      </c>
      <c r="D41" s="8" t="s">
        <v>136</v>
      </c>
      <c r="E41" s="8"/>
      <c r="F41" s="9">
        <f>+F42+F43+F44</f>
        <v>1560.1</v>
      </c>
      <c r="G41" s="9">
        <f>+G42+G43+G44</f>
        <v>1560.1</v>
      </c>
      <c r="H41" s="9">
        <f>+H42+H43+H44</f>
        <v>1560.1</v>
      </c>
    </row>
    <row r="42" spans="1:12" ht="51" x14ac:dyDescent="0.2">
      <c r="A42" s="22" t="s">
        <v>9</v>
      </c>
      <c r="B42" s="23" t="s">
        <v>25</v>
      </c>
      <c r="C42" s="23" t="s">
        <v>56</v>
      </c>
      <c r="D42" s="23" t="s">
        <v>136</v>
      </c>
      <c r="E42" s="24" t="s">
        <v>10</v>
      </c>
      <c r="F42" s="25">
        <f>943.4+284.9+1.1+0.7+11.7</f>
        <v>1241.8</v>
      </c>
      <c r="G42" s="25">
        <f>943.4+284.9+1.1+0.7+11.7</f>
        <v>1241.8</v>
      </c>
      <c r="H42" s="25">
        <f>943.4+284.9+1.1+0.7+11.7</f>
        <v>1241.8</v>
      </c>
    </row>
    <row r="43" spans="1:12" ht="25.5" x14ac:dyDescent="0.2">
      <c r="A43" s="27" t="s">
        <v>20</v>
      </c>
      <c r="B43" s="23" t="s">
        <v>25</v>
      </c>
      <c r="C43" s="23" t="s">
        <v>56</v>
      </c>
      <c r="D43" s="23" t="s">
        <v>136</v>
      </c>
      <c r="E43" s="24" t="s">
        <v>12</v>
      </c>
      <c r="F43" s="25">
        <f>190.5-1.1+128.5</f>
        <v>317.89999999999998</v>
      </c>
      <c r="G43" s="25">
        <f>190.5-1.1+128.5</f>
        <v>317.89999999999998</v>
      </c>
      <c r="H43" s="25">
        <f>190.5-1.1+128.5</f>
        <v>317.89999999999998</v>
      </c>
    </row>
    <row r="44" spans="1:12" s="26" customFormat="1" x14ac:dyDescent="0.2">
      <c r="A44" s="27" t="s">
        <v>16</v>
      </c>
      <c r="B44" s="23" t="s">
        <v>25</v>
      </c>
      <c r="C44" s="23" t="s">
        <v>56</v>
      </c>
      <c r="D44" s="23" t="s">
        <v>136</v>
      </c>
      <c r="E44" s="23" t="s">
        <v>17</v>
      </c>
      <c r="F44" s="25">
        <f>0.2+0.2</f>
        <v>0.4</v>
      </c>
      <c r="G44" s="25">
        <f>0.2+0.2</f>
        <v>0.4</v>
      </c>
      <c r="H44" s="25">
        <f>0.2+0.2</f>
        <v>0.4</v>
      </c>
    </row>
    <row r="45" spans="1:12" x14ac:dyDescent="0.2">
      <c r="A45" s="10" t="s">
        <v>145</v>
      </c>
      <c r="B45" s="8" t="s">
        <v>25</v>
      </c>
      <c r="C45" s="8" t="s">
        <v>56</v>
      </c>
      <c r="D45" s="8" t="s">
        <v>144</v>
      </c>
      <c r="E45" s="8"/>
      <c r="F45" s="9">
        <f>F46</f>
        <v>555.29999999999995</v>
      </c>
      <c r="G45" s="9">
        <f>G46</f>
        <v>555.29999999999995</v>
      </c>
      <c r="H45" s="9">
        <f>H46</f>
        <v>555.29999999999995</v>
      </c>
    </row>
    <row r="46" spans="1:12" s="26" customFormat="1" ht="51" x14ac:dyDescent="0.2">
      <c r="A46" s="22" t="s">
        <v>9</v>
      </c>
      <c r="B46" s="23" t="s">
        <v>25</v>
      </c>
      <c r="C46" s="23" t="s">
        <v>56</v>
      </c>
      <c r="D46" s="23" t="s">
        <v>144</v>
      </c>
      <c r="E46" s="24" t="s">
        <v>10</v>
      </c>
      <c r="F46" s="25">
        <f>422.3+127.6+5.4</f>
        <v>555.29999999999995</v>
      </c>
      <c r="G46" s="25">
        <f>422.3+127.6+5.4</f>
        <v>555.29999999999995</v>
      </c>
      <c r="H46" s="25">
        <f>422.3+127.6+5.4</f>
        <v>555.29999999999995</v>
      </c>
    </row>
    <row r="47" spans="1:12" x14ac:dyDescent="0.2">
      <c r="A47" s="14" t="s">
        <v>36</v>
      </c>
      <c r="B47" s="11" t="s">
        <v>25</v>
      </c>
      <c r="C47" s="11" t="s">
        <v>35</v>
      </c>
      <c r="D47" s="11"/>
      <c r="E47" s="11"/>
      <c r="F47" s="12">
        <f t="shared" ref="F47:H48" si="4">F48</f>
        <v>1204.0999999999999</v>
      </c>
      <c r="G47" s="12">
        <f t="shared" si="4"/>
        <v>1204.0999999999999</v>
      </c>
      <c r="H47" s="12">
        <f t="shared" si="4"/>
        <v>1204.0999999999999</v>
      </c>
    </row>
    <row r="48" spans="1:12" s="26" customFormat="1" x14ac:dyDescent="0.2">
      <c r="A48" s="10" t="s">
        <v>344</v>
      </c>
      <c r="B48" s="8" t="s">
        <v>25</v>
      </c>
      <c r="C48" s="8" t="s">
        <v>35</v>
      </c>
      <c r="D48" s="8" t="s">
        <v>146</v>
      </c>
      <c r="E48" s="8"/>
      <c r="F48" s="9">
        <f t="shared" si="4"/>
        <v>1204.0999999999999</v>
      </c>
      <c r="G48" s="9">
        <f t="shared" si="4"/>
        <v>1204.0999999999999</v>
      </c>
      <c r="H48" s="9">
        <f t="shared" si="4"/>
        <v>1204.0999999999999</v>
      </c>
    </row>
    <row r="49" spans="1:11" x14ac:dyDescent="0.2">
      <c r="A49" s="27" t="s">
        <v>16</v>
      </c>
      <c r="B49" s="23" t="s">
        <v>25</v>
      </c>
      <c r="C49" s="23" t="s">
        <v>35</v>
      </c>
      <c r="D49" s="23" t="s">
        <v>146</v>
      </c>
      <c r="E49" s="23" t="s">
        <v>17</v>
      </c>
      <c r="F49" s="25">
        <f>1024.8+179.3</f>
        <v>1204.0999999999999</v>
      </c>
      <c r="G49" s="25">
        <f>1024.8+179.3</f>
        <v>1204.0999999999999</v>
      </c>
      <c r="H49" s="25">
        <f>1024.8+179.3</f>
        <v>1204.0999999999999</v>
      </c>
    </row>
    <row r="50" spans="1:11" s="26" customFormat="1" x14ac:dyDescent="0.2">
      <c r="A50" s="14" t="s">
        <v>38</v>
      </c>
      <c r="B50" s="11" t="s">
        <v>25</v>
      </c>
      <c r="C50" s="11" t="s">
        <v>67</v>
      </c>
      <c r="D50" s="11"/>
      <c r="E50" s="11"/>
      <c r="F50" s="12">
        <f>F51+F57+F59+F61+F63+F65+F67+F69+F73+F76+F78+F81+F84+F71+F87+F53+F55</f>
        <v>60042.3</v>
      </c>
      <c r="G50" s="12">
        <f t="shared" ref="G50:H50" si="5">G51+G57+G59+G61+G63+G65+G67+G69+G73+G76+G78+G81+G84+G71+G87+G53+G55</f>
        <v>46911.500000000007</v>
      </c>
      <c r="H50" s="12">
        <f t="shared" si="5"/>
        <v>46911.500000000007</v>
      </c>
    </row>
    <row r="51" spans="1:11" s="26" customFormat="1" x14ac:dyDescent="0.2">
      <c r="A51" s="10" t="s">
        <v>147</v>
      </c>
      <c r="B51" s="8" t="s">
        <v>25</v>
      </c>
      <c r="C51" s="8" t="s">
        <v>67</v>
      </c>
      <c r="D51" s="8" t="s">
        <v>148</v>
      </c>
      <c r="E51" s="8"/>
      <c r="F51" s="9">
        <f>F52</f>
        <v>17922.900000000001</v>
      </c>
      <c r="G51" s="9">
        <f>G52</f>
        <v>17922.900000000001</v>
      </c>
      <c r="H51" s="9">
        <f>H52</f>
        <v>17922.900000000001</v>
      </c>
    </row>
    <row r="52" spans="1:11" s="26" customFormat="1" ht="25.5" x14ac:dyDescent="0.2">
      <c r="A52" s="27" t="s">
        <v>215</v>
      </c>
      <c r="B52" s="23" t="s">
        <v>25</v>
      </c>
      <c r="C52" s="23" t="s">
        <v>67</v>
      </c>
      <c r="D52" s="23" t="s">
        <v>148</v>
      </c>
      <c r="E52" s="23" t="s">
        <v>8</v>
      </c>
      <c r="F52" s="25">
        <f>17545.9+213+25+139</f>
        <v>17922.900000000001</v>
      </c>
      <c r="G52" s="25">
        <f>17545.9+213+25+139</f>
        <v>17922.900000000001</v>
      </c>
      <c r="H52" s="25">
        <f>17545.9+213+25+139</f>
        <v>17922.900000000001</v>
      </c>
    </row>
    <row r="53" spans="1:11" ht="25.5" x14ac:dyDescent="0.2">
      <c r="A53" s="5" t="s">
        <v>178</v>
      </c>
      <c r="B53" s="8" t="s">
        <v>25</v>
      </c>
      <c r="C53" s="8" t="s">
        <v>67</v>
      </c>
      <c r="D53" s="8" t="s">
        <v>177</v>
      </c>
      <c r="E53" s="1"/>
      <c r="F53" s="2">
        <f>F54</f>
        <v>25.799999999999997</v>
      </c>
      <c r="G53" s="2">
        <f>G54</f>
        <v>25.799999999999997</v>
      </c>
      <c r="H53" s="2">
        <f>H54</f>
        <v>25.799999999999997</v>
      </c>
    </row>
    <row r="54" spans="1:11" ht="25.5" x14ac:dyDescent="0.2">
      <c r="A54" s="27" t="s">
        <v>215</v>
      </c>
      <c r="B54" s="23" t="s">
        <v>25</v>
      </c>
      <c r="C54" s="23" t="s">
        <v>67</v>
      </c>
      <c r="D54" s="8" t="s">
        <v>177</v>
      </c>
      <c r="E54" s="23" t="s">
        <v>8</v>
      </c>
      <c r="F54" s="25">
        <f>10.2+15.6</f>
        <v>25.799999999999997</v>
      </c>
      <c r="G54" s="25">
        <f>10.2+15.6</f>
        <v>25.799999999999997</v>
      </c>
      <c r="H54" s="25">
        <f>10.2+15.6</f>
        <v>25.799999999999997</v>
      </c>
    </row>
    <row r="55" spans="1:11" x14ac:dyDescent="0.2">
      <c r="A55" s="10" t="s">
        <v>203</v>
      </c>
      <c r="B55" s="8" t="s">
        <v>25</v>
      </c>
      <c r="C55" s="8" t="s">
        <v>67</v>
      </c>
      <c r="D55" s="8" t="s">
        <v>202</v>
      </c>
      <c r="E55" s="8"/>
      <c r="F55" s="9">
        <f>F56</f>
        <v>13130.8</v>
      </c>
      <c r="G55" s="9">
        <f t="shared" ref="G55:H55" si="6">G56</f>
        <v>0</v>
      </c>
      <c r="H55" s="9">
        <f t="shared" si="6"/>
        <v>0</v>
      </c>
    </row>
    <row r="56" spans="1:11" ht="25.5" x14ac:dyDescent="0.2">
      <c r="A56" s="27" t="s">
        <v>74</v>
      </c>
      <c r="B56" s="23" t="s">
        <v>25</v>
      </c>
      <c r="C56" s="23" t="s">
        <v>67</v>
      </c>
      <c r="D56" s="8" t="s">
        <v>202</v>
      </c>
      <c r="E56" s="23" t="s">
        <v>15</v>
      </c>
      <c r="F56" s="25">
        <v>13130.8</v>
      </c>
      <c r="G56" s="25"/>
      <c r="H56" s="25"/>
    </row>
    <row r="57" spans="1:11" ht="38.25" x14ac:dyDescent="0.2">
      <c r="A57" s="10" t="s">
        <v>149</v>
      </c>
      <c r="B57" s="8" t="s">
        <v>25</v>
      </c>
      <c r="C57" s="8" t="s">
        <v>67</v>
      </c>
      <c r="D57" s="8" t="s">
        <v>78</v>
      </c>
      <c r="E57" s="8"/>
      <c r="F57" s="9">
        <f>F58</f>
        <v>120</v>
      </c>
      <c r="G57" s="9">
        <f>G58</f>
        <v>120</v>
      </c>
      <c r="H57" s="9">
        <f>H58</f>
        <v>120</v>
      </c>
    </row>
    <row r="58" spans="1:11" s="26" customFormat="1" ht="25.5" x14ac:dyDescent="0.2">
      <c r="A58" s="27" t="s">
        <v>215</v>
      </c>
      <c r="B58" s="23" t="s">
        <v>25</v>
      </c>
      <c r="C58" s="23" t="s">
        <v>67</v>
      </c>
      <c r="D58" s="23" t="s">
        <v>78</v>
      </c>
      <c r="E58" s="23" t="s">
        <v>8</v>
      </c>
      <c r="F58" s="25">
        <v>120</v>
      </c>
      <c r="G58" s="25">
        <v>120</v>
      </c>
      <c r="H58" s="25">
        <v>120</v>
      </c>
    </row>
    <row r="59" spans="1:11" s="26" customFormat="1" ht="25.5" x14ac:dyDescent="0.2">
      <c r="A59" s="40" t="s">
        <v>150</v>
      </c>
      <c r="B59" s="6" t="s">
        <v>25</v>
      </c>
      <c r="C59" s="8" t="s">
        <v>67</v>
      </c>
      <c r="D59" s="1" t="s">
        <v>151</v>
      </c>
      <c r="E59" s="1"/>
      <c r="F59" s="2">
        <f>F60</f>
        <v>3594.8</v>
      </c>
      <c r="G59" s="2">
        <f>G60</f>
        <v>3594.8</v>
      </c>
      <c r="H59" s="2">
        <f>H60</f>
        <v>3594.8</v>
      </c>
    </row>
    <row r="60" spans="1:11" s="26" customFormat="1" ht="25.5" x14ac:dyDescent="0.2">
      <c r="A60" s="27" t="s">
        <v>215</v>
      </c>
      <c r="B60" s="23" t="s">
        <v>25</v>
      </c>
      <c r="C60" s="23" t="s">
        <v>67</v>
      </c>
      <c r="D60" s="23" t="s">
        <v>151</v>
      </c>
      <c r="E60" s="23" t="s">
        <v>8</v>
      </c>
      <c r="F60" s="25">
        <f>3565.9+28.9</f>
        <v>3594.8</v>
      </c>
      <c r="G60" s="25">
        <f>3565.9+28.9</f>
        <v>3594.8</v>
      </c>
      <c r="H60" s="25">
        <f>3565.9+28.9</f>
        <v>3594.8</v>
      </c>
      <c r="I60" s="13"/>
      <c r="J60" s="13"/>
      <c r="K60" s="13"/>
    </row>
    <row r="61" spans="1:11" ht="25.5" x14ac:dyDescent="0.2">
      <c r="A61" s="5" t="s">
        <v>153</v>
      </c>
      <c r="B61" s="8" t="s">
        <v>25</v>
      </c>
      <c r="C61" s="8" t="s">
        <v>67</v>
      </c>
      <c r="D61" s="8" t="s">
        <v>152</v>
      </c>
      <c r="E61" s="8"/>
      <c r="F61" s="9">
        <f>F62</f>
        <v>828</v>
      </c>
      <c r="G61" s="9">
        <f>G62</f>
        <v>828</v>
      </c>
      <c r="H61" s="9">
        <f>H62</f>
        <v>828</v>
      </c>
    </row>
    <row r="62" spans="1:11" s="26" customFormat="1" x14ac:dyDescent="0.2">
      <c r="A62" s="27" t="s">
        <v>13</v>
      </c>
      <c r="B62" s="23" t="s">
        <v>25</v>
      </c>
      <c r="C62" s="23" t="s">
        <v>67</v>
      </c>
      <c r="D62" s="23" t="s">
        <v>152</v>
      </c>
      <c r="E62" s="23" t="s">
        <v>14</v>
      </c>
      <c r="F62" s="25">
        <v>828</v>
      </c>
      <c r="G62" s="25">
        <v>828</v>
      </c>
      <c r="H62" s="25">
        <v>828</v>
      </c>
      <c r="I62" s="13"/>
      <c r="J62" s="13"/>
      <c r="K62" s="13"/>
    </row>
    <row r="63" spans="1:11" x14ac:dyDescent="0.2">
      <c r="A63" s="10" t="s">
        <v>155</v>
      </c>
      <c r="B63" s="8" t="s">
        <v>25</v>
      </c>
      <c r="C63" s="8" t="s">
        <v>67</v>
      </c>
      <c r="D63" s="8" t="s">
        <v>154</v>
      </c>
      <c r="E63" s="8"/>
      <c r="F63" s="9">
        <f>F64</f>
        <v>3166.1</v>
      </c>
      <c r="G63" s="9">
        <f>G64</f>
        <v>3166.1</v>
      </c>
      <c r="H63" s="9">
        <f>H64</f>
        <v>3166.1</v>
      </c>
    </row>
    <row r="64" spans="1:11" s="26" customFormat="1" x14ac:dyDescent="0.2">
      <c r="A64" s="27" t="s">
        <v>13</v>
      </c>
      <c r="B64" s="23" t="s">
        <v>25</v>
      </c>
      <c r="C64" s="23" t="s">
        <v>67</v>
      </c>
      <c r="D64" s="23" t="s">
        <v>154</v>
      </c>
      <c r="E64" s="23" t="s">
        <v>14</v>
      </c>
      <c r="F64" s="25">
        <v>3166.1</v>
      </c>
      <c r="G64" s="25">
        <v>3166.1</v>
      </c>
      <c r="H64" s="25">
        <v>3166.1</v>
      </c>
      <c r="I64" s="13"/>
      <c r="J64" s="13"/>
      <c r="K64" s="13"/>
    </row>
    <row r="65" spans="1:8" s="4" customFormat="1" x14ac:dyDescent="0.2">
      <c r="A65" s="10" t="s">
        <v>157</v>
      </c>
      <c r="B65" s="8" t="s">
        <v>25</v>
      </c>
      <c r="C65" s="8" t="s">
        <v>67</v>
      </c>
      <c r="D65" s="8" t="s">
        <v>156</v>
      </c>
      <c r="E65" s="8"/>
      <c r="F65" s="9">
        <f>F66</f>
        <v>1709.5</v>
      </c>
      <c r="G65" s="9">
        <f>G66</f>
        <v>1709.5</v>
      </c>
      <c r="H65" s="9">
        <f>H66</f>
        <v>1709.5</v>
      </c>
    </row>
    <row r="66" spans="1:8" s="3" customFormat="1" x14ac:dyDescent="0.2">
      <c r="A66" s="27" t="s">
        <v>16</v>
      </c>
      <c r="B66" s="23" t="s">
        <v>25</v>
      </c>
      <c r="C66" s="23" t="s">
        <v>67</v>
      </c>
      <c r="D66" s="23" t="s">
        <v>156</v>
      </c>
      <c r="E66" s="23" t="s">
        <v>17</v>
      </c>
      <c r="F66" s="25">
        <f>1838.9-129.4</f>
        <v>1709.5</v>
      </c>
      <c r="G66" s="25">
        <f>1838.9-129.4</f>
        <v>1709.5</v>
      </c>
      <c r="H66" s="25">
        <f>1838.9-129.4</f>
        <v>1709.5</v>
      </c>
    </row>
    <row r="67" spans="1:8" s="3" customFormat="1" ht="30.75" customHeight="1" x14ac:dyDescent="0.2">
      <c r="A67" s="10" t="s">
        <v>158</v>
      </c>
      <c r="B67" s="8" t="s">
        <v>25</v>
      </c>
      <c r="C67" s="8" t="s">
        <v>67</v>
      </c>
      <c r="D67" s="1" t="s">
        <v>159</v>
      </c>
      <c r="E67" s="1"/>
      <c r="F67" s="2">
        <f>F68</f>
        <v>200</v>
      </c>
      <c r="G67" s="2">
        <f>G68</f>
        <v>200</v>
      </c>
      <c r="H67" s="2">
        <f>H68</f>
        <v>200</v>
      </c>
    </row>
    <row r="68" spans="1:8" s="3" customFormat="1" ht="25.5" x14ac:dyDescent="0.2">
      <c r="A68" s="27" t="s">
        <v>20</v>
      </c>
      <c r="B68" s="23" t="s">
        <v>25</v>
      </c>
      <c r="C68" s="23" t="s">
        <v>67</v>
      </c>
      <c r="D68" s="23" t="s">
        <v>159</v>
      </c>
      <c r="E68" s="24" t="s">
        <v>12</v>
      </c>
      <c r="F68" s="25">
        <v>200</v>
      </c>
      <c r="G68" s="25">
        <v>200</v>
      </c>
      <c r="H68" s="25">
        <v>200</v>
      </c>
    </row>
    <row r="69" spans="1:8" s="3" customFormat="1" x14ac:dyDescent="0.2">
      <c r="A69" s="10" t="s">
        <v>161</v>
      </c>
      <c r="B69" s="8" t="s">
        <v>25</v>
      </c>
      <c r="C69" s="8" t="s">
        <v>67</v>
      </c>
      <c r="D69" s="1" t="s">
        <v>160</v>
      </c>
      <c r="E69" s="1"/>
      <c r="F69" s="2">
        <f>F70</f>
        <v>1000</v>
      </c>
      <c r="G69" s="2">
        <f>G70</f>
        <v>1000</v>
      </c>
      <c r="H69" s="2">
        <f>H70</f>
        <v>1000</v>
      </c>
    </row>
    <row r="70" spans="1:8" s="3" customFormat="1" ht="25.5" x14ac:dyDescent="0.2">
      <c r="A70" s="27" t="s">
        <v>20</v>
      </c>
      <c r="B70" s="23" t="s">
        <v>25</v>
      </c>
      <c r="C70" s="23" t="s">
        <v>67</v>
      </c>
      <c r="D70" s="23" t="s">
        <v>160</v>
      </c>
      <c r="E70" s="24" t="s">
        <v>12</v>
      </c>
      <c r="F70" s="25">
        <v>1000</v>
      </c>
      <c r="G70" s="25">
        <v>1000</v>
      </c>
      <c r="H70" s="25">
        <v>1000</v>
      </c>
    </row>
    <row r="71" spans="1:8" s="3" customFormat="1" ht="25.5" x14ac:dyDescent="0.2">
      <c r="A71" s="10" t="s">
        <v>163</v>
      </c>
      <c r="B71" s="8" t="s">
        <v>25</v>
      </c>
      <c r="C71" s="8" t="s">
        <v>67</v>
      </c>
      <c r="D71" s="8" t="s">
        <v>162</v>
      </c>
      <c r="E71" s="8"/>
      <c r="F71" s="9">
        <f>F72</f>
        <v>200</v>
      </c>
      <c r="G71" s="9">
        <f>G72</f>
        <v>200</v>
      </c>
      <c r="H71" s="9">
        <f>H72</f>
        <v>200</v>
      </c>
    </row>
    <row r="72" spans="1:8" s="4" customFormat="1" ht="25.5" x14ac:dyDescent="0.2">
      <c r="A72" s="27" t="s">
        <v>20</v>
      </c>
      <c r="B72" s="23" t="s">
        <v>25</v>
      </c>
      <c r="C72" s="23" t="s">
        <v>67</v>
      </c>
      <c r="D72" s="23" t="s">
        <v>162</v>
      </c>
      <c r="E72" s="24" t="s">
        <v>12</v>
      </c>
      <c r="F72" s="25">
        <v>200</v>
      </c>
      <c r="G72" s="25">
        <v>200</v>
      </c>
      <c r="H72" s="25">
        <v>200</v>
      </c>
    </row>
    <row r="73" spans="1:8" s="7" customFormat="1" x14ac:dyDescent="0.2">
      <c r="A73" s="10" t="s">
        <v>345</v>
      </c>
      <c r="B73" s="8" t="s">
        <v>25</v>
      </c>
      <c r="C73" s="8" t="s">
        <v>67</v>
      </c>
      <c r="D73" s="1" t="s">
        <v>164</v>
      </c>
      <c r="E73" s="1"/>
      <c r="F73" s="2">
        <f>F75+F74</f>
        <v>1400</v>
      </c>
      <c r="G73" s="2">
        <f t="shared" ref="G73:H73" si="7">G75+G74</f>
        <v>1400</v>
      </c>
      <c r="H73" s="2">
        <f t="shared" si="7"/>
        <v>1400</v>
      </c>
    </row>
    <row r="74" spans="1:8" s="26" customFormat="1" ht="25.5" x14ac:dyDescent="0.2">
      <c r="A74" s="27" t="s">
        <v>20</v>
      </c>
      <c r="B74" s="23" t="s">
        <v>25</v>
      </c>
      <c r="C74" s="23" t="s">
        <v>67</v>
      </c>
      <c r="D74" s="23" t="s">
        <v>164</v>
      </c>
      <c r="E74" s="24" t="s">
        <v>12</v>
      </c>
      <c r="F74" s="25">
        <v>800</v>
      </c>
      <c r="G74" s="25">
        <v>800</v>
      </c>
      <c r="H74" s="25">
        <v>800</v>
      </c>
    </row>
    <row r="75" spans="1:8" s="26" customFormat="1" x14ac:dyDescent="0.2">
      <c r="A75" s="27" t="s">
        <v>16</v>
      </c>
      <c r="B75" s="23" t="s">
        <v>25</v>
      </c>
      <c r="C75" s="23" t="s">
        <v>67</v>
      </c>
      <c r="D75" s="23" t="s">
        <v>164</v>
      </c>
      <c r="E75" s="24" t="s">
        <v>17</v>
      </c>
      <c r="F75" s="25">
        <v>600</v>
      </c>
      <c r="G75" s="25">
        <v>600</v>
      </c>
      <c r="H75" s="25">
        <v>600</v>
      </c>
    </row>
    <row r="76" spans="1:8" s="7" customFormat="1" x14ac:dyDescent="0.2">
      <c r="A76" s="10" t="s">
        <v>165</v>
      </c>
      <c r="B76" s="8" t="s">
        <v>25</v>
      </c>
      <c r="C76" s="8" t="s">
        <v>67</v>
      </c>
      <c r="D76" s="1" t="s">
        <v>166</v>
      </c>
      <c r="E76" s="1"/>
      <c r="F76" s="2">
        <f>F77</f>
        <v>600</v>
      </c>
      <c r="G76" s="2">
        <f>G77</f>
        <v>600</v>
      </c>
      <c r="H76" s="2">
        <f>H77</f>
        <v>600</v>
      </c>
    </row>
    <row r="77" spans="1:8" s="26" customFormat="1" ht="25.5" x14ac:dyDescent="0.2">
      <c r="A77" s="27" t="s">
        <v>20</v>
      </c>
      <c r="B77" s="23" t="s">
        <v>25</v>
      </c>
      <c r="C77" s="23" t="s">
        <v>67</v>
      </c>
      <c r="D77" s="23" t="s">
        <v>166</v>
      </c>
      <c r="E77" s="24" t="s">
        <v>12</v>
      </c>
      <c r="F77" s="25">
        <v>600</v>
      </c>
      <c r="G77" s="25">
        <v>600</v>
      </c>
      <c r="H77" s="25">
        <v>600</v>
      </c>
    </row>
    <row r="78" spans="1:8" s="20" customFormat="1" ht="15" x14ac:dyDescent="0.2">
      <c r="A78" s="10" t="s">
        <v>167</v>
      </c>
      <c r="B78" s="8" t="s">
        <v>25</v>
      </c>
      <c r="C78" s="8" t="s">
        <v>67</v>
      </c>
      <c r="D78" s="1" t="s">
        <v>168</v>
      </c>
      <c r="E78" s="1"/>
      <c r="F78" s="2">
        <f>F79+F80</f>
        <v>1039.7</v>
      </c>
      <c r="G78" s="2">
        <f>G79+G80</f>
        <v>1039.7</v>
      </c>
      <c r="H78" s="2">
        <f>H79+H80</f>
        <v>1039.7</v>
      </c>
    </row>
    <row r="79" spans="1:8" s="26" customFormat="1" ht="25.5" x14ac:dyDescent="0.2">
      <c r="A79" s="27" t="s">
        <v>20</v>
      </c>
      <c r="B79" s="23" t="s">
        <v>25</v>
      </c>
      <c r="C79" s="23" t="s">
        <v>67</v>
      </c>
      <c r="D79" s="23" t="s">
        <v>168</v>
      </c>
      <c r="E79" s="24" t="s">
        <v>12</v>
      </c>
      <c r="F79" s="25">
        <v>100</v>
      </c>
      <c r="G79" s="25">
        <v>100</v>
      </c>
      <c r="H79" s="25">
        <v>100</v>
      </c>
    </row>
    <row r="80" spans="1:8" s="4" customFormat="1" x14ac:dyDescent="0.2">
      <c r="A80" s="27" t="s">
        <v>16</v>
      </c>
      <c r="B80" s="8" t="s">
        <v>25</v>
      </c>
      <c r="C80" s="8" t="s">
        <v>67</v>
      </c>
      <c r="D80" s="23" t="s">
        <v>168</v>
      </c>
      <c r="E80" s="23" t="s">
        <v>17</v>
      </c>
      <c r="F80" s="25">
        <v>939.7</v>
      </c>
      <c r="G80" s="25">
        <v>939.7</v>
      </c>
      <c r="H80" s="25">
        <v>939.7</v>
      </c>
    </row>
    <row r="81" spans="1:11" ht="25.5" x14ac:dyDescent="0.2">
      <c r="A81" s="10" t="s">
        <v>169</v>
      </c>
      <c r="B81" s="8" t="s">
        <v>25</v>
      </c>
      <c r="C81" s="8" t="s">
        <v>67</v>
      </c>
      <c r="D81" s="1" t="s">
        <v>170</v>
      </c>
      <c r="E81" s="8"/>
      <c r="F81" s="9">
        <f>F82+F83</f>
        <v>7778.8000000000011</v>
      </c>
      <c r="G81" s="9">
        <f t="shared" ref="G81:H81" si="8">G82+G83</f>
        <v>7778.8000000000011</v>
      </c>
      <c r="H81" s="9">
        <f t="shared" si="8"/>
        <v>7778.8000000000011</v>
      </c>
    </row>
    <row r="82" spans="1:11" s="26" customFormat="1" ht="51" x14ac:dyDescent="0.2">
      <c r="A82" s="22" t="s">
        <v>9</v>
      </c>
      <c r="B82" s="23" t="s">
        <v>25</v>
      </c>
      <c r="C82" s="23" t="s">
        <v>67</v>
      </c>
      <c r="D82" s="23" t="s">
        <v>170</v>
      </c>
      <c r="E82" s="24" t="s">
        <v>10</v>
      </c>
      <c r="F82" s="25">
        <f>5397.6+1630.1+67.6</f>
        <v>7095.3000000000011</v>
      </c>
      <c r="G82" s="25">
        <f>5397.6+1630.1+67.6</f>
        <v>7095.3000000000011</v>
      </c>
      <c r="H82" s="25">
        <f>5397.6+1630.1+67.6</f>
        <v>7095.3000000000011</v>
      </c>
      <c r="I82" s="13"/>
      <c r="J82" s="13"/>
      <c r="K82" s="13"/>
    </row>
    <row r="83" spans="1:11" s="26" customFormat="1" ht="25.5" x14ac:dyDescent="0.2">
      <c r="A83" s="27" t="s">
        <v>20</v>
      </c>
      <c r="B83" s="23" t="s">
        <v>25</v>
      </c>
      <c r="C83" s="23" t="s">
        <v>67</v>
      </c>
      <c r="D83" s="23" t="s">
        <v>170</v>
      </c>
      <c r="E83" s="24" t="s">
        <v>12</v>
      </c>
      <c r="F83" s="25">
        <v>683.5</v>
      </c>
      <c r="G83" s="25">
        <v>683.5</v>
      </c>
      <c r="H83" s="25">
        <v>683.5</v>
      </c>
    </row>
    <row r="84" spans="1:11" s="26" customFormat="1" ht="89.25" x14ac:dyDescent="0.2">
      <c r="A84" s="37" t="s">
        <v>173</v>
      </c>
      <c r="B84" s="8" t="s">
        <v>25</v>
      </c>
      <c r="C84" s="8" t="s">
        <v>67</v>
      </c>
      <c r="D84" s="8" t="s">
        <v>171</v>
      </c>
      <c r="E84" s="8"/>
      <c r="F84" s="9">
        <f>F85+F86</f>
        <v>7091.5</v>
      </c>
      <c r="G84" s="9">
        <f>G85+G86</f>
        <v>7091.5</v>
      </c>
      <c r="H84" s="9">
        <f>H85+H86</f>
        <v>7091.5</v>
      </c>
    </row>
    <row r="85" spans="1:11" s="26" customFormat="1" ht="51" x14ac:dyDescent="0.2">
      <c r="A85" s="22" t="s">
        <v>9</v>
      </c>
      <c r="B85" s="23" t="s">
        <v>25</v>
      </c>
      <c r="C85" s="23" t="s">
        <v>67</v>
      </c>
      <c r="D85" s="23" t="s">
        <v>171</v>
      </c>
      <c r="E85" s="24" t="s">
        <v>10</v>
      </c>
      <c r="F85" s="25">
        <f>5361+1619+67.1</f>
        <v>7047.1</v>
      </c>
      <c r="G85" s="25">
        <f>5361+1619+67.1</f>
        <v>7047.1</v>
      </c>
      <c r="H85" s="25">
        <f>5361+1619+67.1</f>
        <v>7047.1</v>
      </c>
    </row>
    <row r="86" spans="1:11" ht="25.5" x14ac:dyDescent="0.2">
      <c r="A86" s="27" t="s">
        <v>20</v>
      </c>
      <c r="B86" s="23" t="s">
        <v>25</v>
      </c>
      <c r="C86" s="23" t="s">
        <v>67</v>
      </c>
      <c r="D86" s="23" t="s">
        <v>171</v>
      </c>
      <c r="E86" s="24" t="s">
        <v>12</v>
      </c>
      <c r="F86" s="25">
        <f>34.1+8.3+2</f>
        <v>44.400000000000006</v>
      </c>
      <c r="G86" s="25">
        <f>34.1+8.3+2</f>
        <v>44.400000000000006</v>
      </c>
      <c r="H86" s="25">
        <f>34.1+8.3+2</f>
        <v>44.400000000000006</v>
      </c>
    </row>
    <row r="87" spans="1:11" s="26" customFormat="1" ht="51" x14ac:dyDescent="0.2">
      <c r="A87" s="37" t="s">
        <v>174</v>
      </c>
      <c r="B87" s="8" t="s">
        <v>25</v>
      </c>
      <c r="C87" s="8" t="s">
        <v>67</v>
      </c>
      <c r="D87" s="8" t="s">
        <v>172</v>
      </c>
      <c r="E87" s="8"/>
      <c r="F87" s="9">
        <f>F88</f>
        <v>234.4</v>
      </c>
      <c r="G87" s="9">
        <f>G88</f>
        <v>234.4</v>
      </c>
      <c r="H87" s="9">
        <f>H88</f>
        <v>234.4</v>
      </c>
    </row>
    <row r="88" spans="1:11" ht="25.5" x14ac:dyDescent="0.2">
      <c r="A88" s="27" t="s">
        <v>20</v>
      </c>
      <c r="B88" s="23" t="s">
        <v>25</v>
      </c>
      <c r="C88" s="23" t="s">
        <v>67</v>
      </c>
      <c r="D88" s="23" t="s">
        <v>172</v>
      </c>
      <c r="E88" s="24" t="s">
        <v>12</v>
      </c>
      <c r="F88" s="25">
        <v>234.4</v>
      </c>
      <c r="G88" s="25">
        <v>234.4</v>
      </c>
      <c r="H88" s="25">
        <v>234.4</v>
      </c>
    </row>
    <row r="89" spans="1:11" s="26" customFormat="1" ht="31.5" x14ac:dyDescent="0.25">
      <c r="A89" s="35" t="s">
        <v>5</v>
      </c>
      <c r="B89" s="33" t="s">
        <v>30</v>
      </c>
      <c r="C89" s="33" t="s">
        <v>26</v>
      </c>
      <c r="D89" s="33"/>
      <c r="E89" s="33"/>
      <c r="F89" s="34">
        <f>F90</f>
        <v>6091.7999999999993</v>
      </c>
      <c r="G89" s="34">
        <f>G90</f>
        <v>6091.7999999999993</v>
      </c>
      <c r="H89" s="34">
        <f>H90</f>
        <v>6091.7999999999993</v>
      </c>
    </row>
    <row r="90" spans="1:11" s="26" customFormat="1" ht="38.25" x14ac:dyDescent="0.2">
      <c r="A90" s="14" t="s">
        <v>21</v>
      </c>
      <c r="B90" s="41" t="s">
        <v>30</v>
      </c>
      <c r="C90" s="11" t="s">
        <v>39</v>
      </c>
      <c r="D90" s="11"/>
      <c r="E90" s="11"/>
      <c r="F90" s="12">
        <f>F95+F91+F97+F99+F101</f>
        <v>6091.7999999999993</v>
      </c>
      <c r="G90" s="12">
        <f t="shared" ref="G90:H90" si="9">G95+G91+G97+G99+G101</f>
        <v>6091.7999999999993</v>
      </c>
      <c r="H90" s="12">
        <f t="shared" si="9"/>
        <v>6091.7999999999993</v>
      </c>
    </row>
    <row r="91" spans="1:11" s="26" customFormat="1" ht="38.25" x14ac:dyDescent="0.2">
      <c r="A91" s="37" t="s">
        <v>175</v>
      </c>
      <c r="B91" s="8" t="s">
        <v>30</v>
      </c>
      <c r="C91" s="8" t="s">
        <v>39</v>
      </c>
      <c r="D91" s="8" t="s">
        <v>176</v>
      </c>
      <c r="E91" s="8"/>
      <c r="F91" s="9">
        <f>F92+F93+F94</f>
        <v>3906.3</v>
      </c>
      <c r="G91" s="9">
        <f>G92+G93+G94</f>
        <v>3906.3</v>
      </c>
      <c r="H91" s="9">
        <f>H92+H93+H94</f>
        <v>3906.3</v>
      </c>
    </row>
    <row r="92" spans="1:11" ht="51" x14ac:dyDescent="0.2">
      <c r="A92" s="22" t="s">
        <v>9</v>
      </c>
      <c r="B92" s="23" t="s">
        <v>30</v>
      </c>
      <c r="C92" s="23" t="s">
        <v>39</v>
      </c>
      <c r="D92" s="23" t="s">
        <v>176</v>
      </c>
      <c r="E92" s="24" t="s">
        <v>10</v>
      </c>
      <c r="F92" s="25">
        <f>3261.1+31.4</f>
        <v>3292.5</v>
      </c>
      <c r="G92" s="25">
        <f>3261.1+31.4</f>
        <v>3292.5</v>
      </c>
      <c r="H92" s="25">
        <f>3261.1+31.4</f>
        <v>3292.5</v>
      </c>
    </row>
    <row r="93" spans="1:11" s="26" customFormat="1" ht="25.5" x14ac:dyDescent="0.2">
      <c r="A93" s="27" t="s">
        <v>20</v>
      </c>
      <c r="B93" s="23" t="s">
        <v>30</v>
      </c>
      <c r="C93" s="23" t="s">
        <v>39</v>
      </c>
      <c r="D93" s="23" t="s">
        <v>176</v>
      </c>
      <c r="E93" s="24" t="s">
        <v>12</v>
      </c>
      <c r="F93" s="25">
        <f>170.8+45+148.6+30+209</f>
        <v>603.4</v>
      </c>
      <c r="G93" s="25">
        <f>170.8+45+148.6+30+209</f>
        <v>603.4</v>
      </c>
      <c r="H93" s="25">
        <f>170.8+45+148.6+30+209</f>
        <v>603.4</v>
      </c>
    </row>
    <row r="94" spans="1:11" s="4" customFormat="1" x14ac:dyDescent="0.2">
      <c r="A94" s="27" t="s">
        <v>16</v>
      </c>
      <c r="B94" s="23" t="s">
        <v>30</v>
      </c>
      <c r="C94" s="23" t="s">
        <v>39</v>
      </c>
      <c r="D94" s="23" t="s">
        <v>176</v>
      </c>
      <c r="E94" s="23" t="s">
        <v>17</v>
      </c>
      <c r="F94" s="25">
        <v>10.4</v>
      </c>
      <c r="G94" s="25">
        <v>10.4</v>
      </c>
      <c r="H94" s="25">
        <v>10.4</v>
      </c>
    </row>
    <row r="95" spans="1:11" s="26" customFormat="1" x14ac:dyDescent="0.2">
      <c r="A95" s="43" t="s">
        <v>325</v>
      </c>
      <c r="B95" s="8" t="s">
        <v>30</v>
      </c>
      <c r="C95" s="8" t="s">
        <v>39</v>
      </c>
      <c r="D95" s="8" t="s">
        <v>324</v>
      </c>
      <c r="E95" s="8"/>
      <c r="F95" s="9">
        <f>F96</f>
        <v>2070.6</v>
      </c>
      <c r="G95" s="9">
        <f>G96</f>
        <v>2070.6</v>
      </c>
      <c r="H95" s="9">
        <f>H96</f>
        <v>2070.6</v>
      </c>
    </row>
    <row r="96" spans="1:11" s="26" customFormat="1" ht="25.5" x14ac:dyDescent="0.2">
      <c r="A96" s="27" t="s">
        <v>215</v>
      </c>
      <c r="B96" s="23" t="s">
        <v>30</v>
      </c>
      <c r="C96" s="23" t="s">
        <v>39</v>
      </c>
      <c r="D96" s="23" t="s">
        <v>324</v>
      </c>
      <c r="E96" s="24" t="s">
        <v>8</v>
      </c>
      <c r="F96" s="25">
        <f>2054.4+16.2</f>
        <v>2070.6</v>
      </c>
      <c r="G96" s="25">
        <f>2054.4+16.2</f>
        <v>2070.6</v>
      </c>
      <c r="H96" s="25">
        <f>2054.4+16.2</f>
        <v>2070.6</v>
      </c>
    </row>
    <row r="97" spans="1:15" ht="25.5" x14ac:dyDescent="0.2">
      <c r="A97" s="5" t="s">
        <v>178</v>
      </c>
      <c r="B97" s="8" t="s">
        <v>30</v>
      </c>
      <c r="C97" s="8" t="s">
        <v>39</v>
      </c>
      <c r="D97" s="8" t="s">
        <v>177</v>
      </c>
      <c r="E97" s="1"/>
      <c r="F97" s="2">
        <f>F98</f>
        <v>1</v>
      </c>
      <c r="G97" s="2">
        <f>G98</f>
        <v>1</v>
      </c>
      <c r="H97" s="2">
        <f>H98</f>
        <v>1</v>
      </c>
    </row>
    <row r="98" spans="1:15" s="4" customFormat="1" ht="25.5" x14ac:dyDescent="0.2">
      <c r="A98" s="27" t="s">
        <v>20</v>
      </c>
      <c r="B98" s="23" t="s">
        <v>30</v>
      </c>
      <c r="C98" s="23" t="s">
        <v>39</v>
      </c>
      <c r="D98" s="23" t="s">
        <v>177</v>
      </c>
      <c r="E98" s="24" t="s">
        <v>12</v>
      </c>
      <c r="F98" s="25">
        <v>1</v>
      </c>
      <c r="G98" s="25">
        <v>1</v>
      </c>
      <c r="H98" s="25">
        <v>1</v>
      </c>
    </row>
    <row r="99" spans="1:15" x14ac:dyDescent="0.2">
      <c r="A99" s="5" t="s">
        <v>180</v>
      </c>
      <c r="B99" s="8" t="s">
        <v>30</v>
      </c>
      <c r="C99" s="8" t="s">
        <v>39</v>
      </c>
      <c r="D99" s="8" t="s">
        <v>179</v>
      </c>
      <c r="E99" s="1"/>
      <c r="F99" s="2">
        <f>F100</f>
        <v>80.900000000000006</v>
      </c>
      <c r="G99" s="2">
        <f>G100</f>
        <v>80.900000000000006</v>
      </c>
      <c r="H99" s="2">
        <f>H100</f>
        <v>80.900000000000006</v>
      </c>
    </row>
    <row r="100" spans="1:15" s="26" customFormat="1" ht="25.5" x14ac:dyDescent="0.2">
      <c r="A100" s="27" t="s">
        <v>20</v>
      </c>
      <c r="B100" s="23" t="s">
        <v>30</v>
      </c>
      <c r="C100" s="23" t="s">
        <v>39</v>
      </c>
      <c r="D100" s="23" t="s">
        <v>179</v>
      </c>
      <c r="E100" s="24" t="s">
        <v>12</v>
      </c>
      <c r="F100" s="25">
        <v>80.900000000000006</v>
      </c>
      <c r="G100" s="25">
        <v>80.900000000000006</v>
      </c>
      <c r="H100" s="25">
        <v>80.900000000000006</v>
      </c>
    </row>
    <row r="101" spans="1:15" ht="25.5" x14ac:dyDescent="0.2">
      <c r="A101" s="5" t="s">
        <v>182</v>
      </c>
      <c r="B101" s="8" t="s">
        <v>30</v>
      </c>
      <c r="C101" s="8" t="s">
        <v>39</v>
      </c>
      <c r="D101" s="8" t="s">
        <v>181</v>
      </c>
      <c r="E101" s="1"/>
      <c r="F101" s="2">
        <f>F102</f>
        <v>33</v>
      </c>
      <c r="G101" s="2">
        <f>G102</f>
        <v>33</v>
      </c>
      <c r="H101" s="2">
        <f>H102</f>
        <v>33</v>
      </c>
    </row>
    <row r="102" spans="1:15" s="26" customFormat="1" x14ac:dyDescent="0.2">
      <c r="A102" s="27" t="s">
        <v>13</v>
      </c>
      <c r="B102" s="23" t="s">
        <v>30</v>
      </c>
      <c r="C102" s="23" t="s">
        <v>39</v>
      </c>
      <c r="D102" s="8" t="s">
        <v>181</v>
      </c>
      <c r="E102" s="24" t="s">
        <v>14</v>
      </c>
      <c r="F102" s="25">
        <v>33</v>
      </c>
      <c r="G102" s="25">
        <v>33</v>
      </c>
      <c r="H102" s="25">
        <v>33</v>
      </c>
    </row>
    <row r="103" spans="1:15" ht="15.75" x14ac:dyDescent="0.25">
      <c r="A103" s="35" t="s">
        <v>40</v>
      </c>
      <c r="B103" s="33" t="s">
        <v>32</v>
      </c>
      <c r="C103" s="33" t="s">
        <v>26</v>
      </c>
      <c r="D103" s="33"/>
      <c r="E103" s="33"/>
      <c r="F103" s="34">
        <f>F104+F107+F114</f>
        <v>119025.60000000001</v>
      </c>
      <c r="G103" s="34">
        <f t="shared" ref="G103:H103" si="10">G104+G107+G114</f>
        <v>65004.9</v>
      </c>
      <c r="H103" s="34">
        <f t="shared" si="10"/>
        <v>44419.200000000004</v>
      </c>
    </row>
    <row r="104" spans="1:15" s="4" customFormat="1" x14ac:dyDescent="0.2">
      <c r="A104" s="14" t="s">
        <v>41</v>
      </c>
      <c r="B104" s="11" t="s">
        <v>32</v>
      </c>
      <c r="C104" s="11" t="s">
        <v>28</v>
      </c>
      <c r="D104" s="11"/>
      <c r="E104" s="11"/>
      <c r="F104" s="12">
        <f>F105</f>
        <v>34883.800000000003</v>
      </c>
      <c r="G104" s="12">
        <f t="shared" ref="G104:H104" si="11">G105</f>
        <v>0</v>
      </c>
      <c r="H104" s="12">
        <f t="shared" si="11"/>
        <v>0</v>
      </c>
    </row>
    <row r="105" spans="1:15" s="26" customFormat="1" ht="38.25" x14ac:dyDescent="0.2">
      <c r="A105" s="10" t="s">
        <v>373</v>
      </c>
      <c r="B105" s="8" t="s">
        <v>32</v>
      </c>
      <c r="C105" s="8" t="s">
        <v>28</v>
      </c>
      <c r="D105" s="8" t="s">
        <v>184</v>
      </c>
      <c r="E105" s="8"/>
      <c r="F105" s="9">
        <f>F106</f>
        <v>34883.800000000003</v>
      </c>
      <c r="G105" s="9">
        <f>G106</f>
        <v>0</v>
      </c>
      <c r="H105" s="9">
        <f>H106</f>
        <v>0</v>
      </c>
    </row>
    <row r="106" spans="1:15" s="26" customFormat="1" x14ac:dyDescent="0.2">
      <c r="A106" s="27" t="s">
        <v>16</v>
      </c>
      <c r="B106" s="23" t="s">
        <v>32</v>
      </c>
      <c r="C106" s="23" t="s">
        <v>28</v>
      </c>
      <c r="D106" s="23" t="s">
        <v>184</v>
      </c>
      <c r="E106" s="23" t="s">
        <v>17</v>
      </c>
      <c r="F106" s="25">
        <v>34883.800000000003</v>
      </c>
      <c r="G106" s="25"/>
      <c r="H106" s="25"/>
    </row>
    <row r="107" spans="1:15" x14ac:dyDescent="0.2">
      <c r="A107" s="14" t="s">
        <v>71</v>
      </c>
      <c r="B107" s="11" t="s">
        <v>32</v>
      </c>
      <c r="C107" s="11" t="s">
        <v>39</v>
      </c>
      <c r="D107" s="11"/>
      <c r="E107" s="11"/>
      <c r="F107" s="12">
        <f>F108+F112+F110</f>
        <v>81770.900000000009</v>
      </c>
      <c r="G107" s="12">
        <f t="shared" ref="G107:H107" si="12">G108+G112+G110</f>
        <v>62634</v>
      </c>
      <c r="H107" s="12">
        <f t="shared" si="12"/>
        <v>42048.3</v>
      </c>
    </row>
    <row r="108" spans="1:15" s="4" customFormat="1" ht="25.5" x14ac:dyDescent="0.2">
      <c r="A108" s="10" t="s">
        <v>185</v>
      </c>
      <c r="B108" s="8" t="s">
        <v>32</v>
      </c>
      <c r="C108" s="8" t="s">
        <v>39</v>
      </c>
      <c r="D108" s="8" t="s">
        <v>186</v>
      </c>
      <c r="E108" s="8"/>
      <c r="F108" s="9">
        <f>F109</f>
        <v>73107</v>
      </c>
      <c r="G108" s="9">
        <f>G109</f>
        <v>53970.1</v>
      </c>
      <c r="H108" s="9">
        <f>H109</f>
        <v>33384.400000000001</v>
      </c>
    </row>
    <row r="109" spans="1:15" ht="25.5" x14ac:dyDescent="0.2">
      <c r="A109" s="27" t="s">
        <v>215</v>
      </c>
      <c r="B109" s="23" t="s">
        <v>32</v>
      </c>
      <c r="C109" s="23" t="s">
        <v>39</v>
      </c>
      <c r="D109" s="23" t="s">
        <v>186</v>
      </c>
      <c r="E109" s="23" t="s">
        <v>8</v>
      </c>
      <c r="F109" s="25">
        <v>73107</v>
      </c>
      <c r="G109" s="25">
        <f>73107-19136.9</f>
        <v>53970.1</v>
      </c>
      <c r="H109" s="25">
        <f>73107-39722.6</f>
        <v>33384.400000000001</v>
      </c>
    </row>
    <row r="110" spans="1:15" ht="25.5" x14ac:dyDescent="0.2">
      <c r="A110" s="10" t="s">
        <v>187</v>
      </c>
      <c r="B110" s="8" t="s">
        <v>32</v>
      </c>
      <c r="C110" s="8" t="s">
        <v>39</v>
      </c>
      <c r="D110" s="8" t="s">
        <v>188</v>
      </c>
      <c r="E110" s="8"/>
      <c r="F110" s="9">
        <f>F111</f>
        <v>8080.1</v>
      </c>
      <c r="G110" s="9">
        <f>G111</f>
        <v>8080.1</v>
      </c>
      <c r="H110" s="9">
        <f>H111</f>
        <v>8080.1</v>
      </c>
    </row>
    <row r="111" spans="1:15" ht="25.5" x14ac:dyDescent="0.2">
      <c r="A111" s="27" t="s">
        <v>215</v>
      </c>
      <c r="B111" s="23" t="s">
        <v>32</v>
      </c>
      <c r="C111" s="23" t="s">
        <v>39</v>
      </c>
      <c r="D111" s="23" t="s">
        <v>188</v>
      </c>
      <c r="E111" s="23" t="s">
        <v>8</v>
      </c>
      <c r="F111" s="25">
        <v>8080.1</v>
      </c>
      <c r="G111" s="25">
        <v>8080.1</v>
      </c>
      <c r="H111" s="25">
        <v>8080.1</v>
      </c>
    </row>
    <row r="112" spans="1:15" ht="25.5" x14ac:dyDescent="0.2">
      <c r="A112" s="10" t="s">
        <v>189</v>
      </c>
      <c r="B112" s="8" t="s">
        <v>32</v>
      </c>
      <c r="C112" s="8" t="s">
        <v>39</v>
      </c>
      <c r="D112" s="8" t="s">
        <v>190</v>
      </c>
      <c r="E112" s="8"/>
      <c r="F112" s="9">
        <f>F113</f>
        <v>583.79999999999995</v>
      </c>
      <c r="G112" s="9">
        <f>G113</f>
        <v>583.79999999999995</v>
      </c>
      <c r="H112" s="9">
        <f>H113</f>
        <v>583.79999999999995</v>
      </c>
      <c r="N112" s="26"/>
      <c r="O112" s="26"/>
    </row>
    <row r="113" spans="1:15" s="26" customFormat="1" ht="25.5" x14ac:dyDescent="0.2">
      <c r="A113" s="27" t="s">
        <v>215</v>
      </c>
      <c r="B113" s="23" t="s">
        <v>32</v>
      </c>
      <c r="C113" s="23" t="s">
        <v>39</v>
      </c>
      <c r="D113" s="23" t="s">
        <v>190</v>
      </c>
      <c r="E113" s="23" t="s">
        <v>8</v>
      </c>
      <c r="F113" s="25">
        <v>583.79999999999995</v>
      </c>
      <c r="G113" s="25">
        <v>583.79999999999995</v>
      </c>
      <c r="H113" s="25">
        <v>583.79999999999995</v>
      </c>
      <c r="I113" s="13"/>
      <c r="J113" s="13"/>
      <c r="K113" s="13"/>
      <c r="L113" s="13"/>
      <c r="M113" s="13"/>
      <c r="N113" s="13"/>
      <c r="O113" s="13"/>
    </row>
    <row r="114" spans="1:15" s="26" customFormat="1" x14ac:dyDescent="0.2">
      <c r="A114" s="14" t="s">
        <v>42</v>
      </c>
      <c r="B114" s="11" t="s">
        <v>32</v>
      </c>
      <c r="C114" s="11" t="s">
        <v>37</v>
      </c>
      <c r="D114" s="11"/>
      <c r="E114" s="11"/>
      <c r="F114" s="12">
        <f>F119+F121+F115+F117</f>
        <v>2370.9</v>
      </c>
      <c r="G114" s="12">
        <f t="shared" ref="G114:H114" si="13">G119+G121+G115+G117</f>
        <v>2370.9</v>
      </c>
      <c r="H114" s="12">
        <f t="shared" si="13"/>
        <v>2370.9</v>
      </c>
    </row>
    <row r="115" spans="1:15" s="26" customFormat="1" ht="25.5" x14ac:dyDescent="0.2">
      <c r="A115" s="10" t="s">
        <v>192</v>
      </c>
      <c r="B115" s="8" t="s">
        <v>32</v>
      </c>
      <c r="C115" s="8" t="s">
        <v>37</v>
      </c>
      <c r="D115" s="8" t="s">
        <v>191</v>
      </c>
      <c r="E115" s="8"/>
      <c r="F115" s="9">
        <f>F116</f>
        <v>75</v>
      </c>
      <c r="G115" s="9">
        <f>G116</f>
        <v>75</v>
      </c>
      <c r="H115" s="9">
        <f>H116</f>
        <v>75</v>
      </c>
    </row>
    <row r="116" spans="1:15" s="26" customFormat="1" ht="25.5" x14ac:dyDescent="0.2">
      <c r="A116" s="27" t="s">
        <v>20</v>
      </c>
      <c r="B116" s="23" t="s">
        <v>32</v>
      </c>
      <c r="C116" s="23" t="s">
        <v>37</v>
      </c>
      <c r="D116" s="23" t="s">
        <v>191</v>
      </c>
      <c r="E116" s="24" t="s">
        <v>12</v>
      </c>
      <c r="F116" s="25">
        <v>75</v>
      </c>
      <c r="G116" s="25">
        <v>75</v>
      </c>
      <c r="H116" s="25">
        <v>75</v>
      </c>
    </row>
    <row r="117" spans="1:15" ht="25.5" x14ac:dyDescent="0.2">
      <c r="A117" s="10" t="s">
        <v>193</v>
      </c>
      <c r="B117" s="8" t="s">
        <v>32</v>
      </c>
      <c r="C117" s="8" t="s">
        <v>37</v>
      </c>
      <c r="D117" s="8" t="s">
        <v>370</v>
      </c>
      <c r="E117" s="8"/>
      <c r="F117" s="9">
        <f>F118</f>
        <v>595.9</v>
      </c>
      <c r="G117" s="9">
        <f>G118</f>
        <v>595.9</v>
      </c>
      <c r="H117" s="9">
        <f>H118</f>
        <v>595.9</v>
      </c>
    </row>
    <row r="118" spans="1:15" s="26" customFormat="1" x14ac:dyDescent="0.2">
      <c r="A118" s="27" t="s">
        <v>16</v>
      </c>
      <c r="B118" s="23" t="s">
        <v>32</v>
      </c>
      <c r="C118" s="23" t="s">
        <v>37</v>
      </c>
      <c r="D118" s="23" t="s">
        <v>370</v>
      </c>
      <c r="E118" s="24" t="s">
        <v>17</v>
      </c>
      <c r="F118" s="25">
        <v>595.9</v>
      </c>
      <c r="G118" s="25">
        <v>595.9</v>
      </c>
      <c r="H118" s="25">
        <v>595.9</v>
      </c>
    </row>
    <row r="119" spans="1:15" s="4" customFormat="1" x14ac:dyDescent="0.2">
      <c r="A119" s="10" t="s">
        <v>195</v>
      </c>
      <c r="B119" s="8" t="s">
        <v>32</v>
      </c>
      <c r="C119" s="8" t="s">
        <v>37</v>
      </c>
      <c r="D119" s="8" t="s">
        <v>194</v>
      </c>
      <c r="E119" s="8"/>
      <c r="F119" s="9">
        <f>F120</f>
        <v>1000</v>
      </c>
      <c r="G119" s="9">
        <f>G120</f>
        <v>1000</v>
      </c>
      <c r="H119" s="9">
        <f>H120</f>
        <v>1000</v>
      </c>
    </row>
    <row r="120" spans="1:15" ht="25.5" x14ac:dyDescent="0.2">
      <c r="A120" s="27" t="s">
        <v>20</v>
      </c>
      <c r="B120" s="23" t="s">
        <v>32</v>
      </c>
      <c r="C120" s="23" t="s">
        <v>37</v>
      </c>
      <c r="D120" s="23" t="s">
        <v>194</v>
      </c>
      <c r="E120" s="24" t="s">
        <v>12</v>
      </c>
      <c r="F120" s="25">
        <v>1000</v>
      </c>
      <c r="G120" s="25">
        <v>1000</v>
      </c>
      <c r="H120" s="25">
        <v>1000</v>
      </c>
    </row>
    <row r="121" spans="1:15" s="26" customFormat="1" ht="38.25" x14ac:dyDescent="0.2">
      <c r="A121" s="10" t="s">
        <v>197</v>
      </c>
      <c r="B121" s="8" t="s">
        <v>32</v>
      </c>
      <c r="C121" s="8" t="s">
        <v>37</v>
      </c>
      <c r="D121" s="8" t="s">
        <v>196</v>
      </c>
      <c r="E121" s="8"/>
      <c r="F121" s="9">
        <f>F122</f>
        <v>700</v>
      </c>
      <c r="G121" s="9">
        <f>G122</f>
        <v>700</v>
      </c>
      <c r="H121" s="9">
        <f>H122</f>
        <v>700</v>
      </c>
    </row>
    <row r="122" spans="1:15" s="4" customFormat="1" ht="25.5" x14ac:dyDescent="0.2">
      <c r="A122" s="27" t="s">
        <v>20</v>
      </c>
      <c r="B122" s="23" t="s">
        <v>32</v>
      </c>
      <c r="C122" s="23" t="s">
        <v>37</v>
      </c>
      <c r="D122" s="23" t="s">
        <v>196</v>
      </c>
      <c r="E122" s="24" t="s">
        <v>12</v>
      </c>
      <c r="F122" s="25">
        <v>700</v>
      </c>
      <c r="G122" s="25">
        <v>700</v>
      </c>
      <c r="H122" s="25">
        <v>700</v>
      </c>
    </row>
    <row r="123" spans="1:15" ht="15.75" x14ac:dyDescent="0.25">
      <c r="A123" s="35" t="s">
        <v>43</v>
      </c>
      <c r="B123" s="33" t="s">
        <v>44</v>
      </c>
      <c r="C123" s="33" t="s">
        <v>26</v>
      </c>
      <c r="D123" s="33"/>
      <c r="E123" s="33"/>
      <c r="F123" s="34">
        <f>F124+F137+F154+F165</f>
        <v>223558.3</v>
      </c>
      <c r="G123" s="34">
        <f t="shared" ref="G123:H123" si="14">G124+G137+G154+G165</f>
        <v>41256</v>
      </c>
      <c r="H123" s="34">
        <f t="shared" si="14"/>
        <v>69212.700000000012</v>
      </c>
    </row>
    <row r="124" spans="1:15" s="26" customFormat="1" x14ac:dyDescent="0.2">
      <c r="A124" s="14" t="s">
        <v>45</v>
      </c>
      <c r="B124" s="11" t="s">
        <v>44</v>
      </c>
      <c r="C124" s="11" t="s">
        <v>25</v>
      </c>
      <c r="D124" s="11"/>
      <c r="E124" s="11"/>
      <c r="F124" s="12">
        <f>F127+F130+F135+F133+F125</f>
        <v>63558.3</v>
      </c>
      <c r="G124" s="12">
        <f t="shared" ref="G124:H124" si="15">G127+G130+G135+G133+G125</f>
        <v>4649.7</v>
      </c>
      <c r="H124" s="12">
        <f t="shared" si="15"/>
        <v>33178.400000000001</v>
      </c>
    </row>
    <row r="125" spans="1:15" ht="25.5" x14ac:dyDescent="0.2">
      <c r="A125" s="10" t="s">
        <v>201</v>
      </c>
      <c r="B125" s="8" t="s">
        <v>44</v>
      </c>
      <c r="C125" s="8" t="s">
        <v>25</v>
      </c>
      <c r="D125" s="8" t="s">
        <v>200</v>
      </c>
      <c r="E125" s="8"/>
      <c r="F125" s="9">
        <f>F126</f>
        <v>200</v>
      </c>
      <c r="G125" s="9">
        <f>G126</f>
        <v>0</v>
      </c>
      <c r="H125" s="9">
        <f>H126</f>
        <v>0</v>
      </c>
    </row>
    <row r="126" spans="1:15" s="26" customFormat="1" ht="25.5" x14ac:dyDescent="0.2">
      <c r="A126" s="27" t="s">
        <v>20</v>
      </c>
      <c r="B126" s="23" t="s">
        <v>44</v>
      </c>
      <c r="C126" s="23" t="s">
        <v>25</v>
      </c>
      <c r="D126" s="23" t="s">
        <v>200</v>
      </c>
      <c r="E126" s="24" t="s">
        <v>12</v>
      </c>
      <c r="F126" s="25">
        <v>200</v>
      </c>
      <c r="G126" s="25">
        <v>0</v>
      </c>
      <c r="H126" s="25">
        <v>0</v>
      </c>
    </row>
    <row r="127" spans="1:15" x14ac:dyDescent="0.2">
      <c r="A127" s="10" t="s">
        <v>203</v>
      </c>
      <c r="B127" s="8" t="s">
        <v>44</v>
      </c>
      <c r="C127" s="8" t="s">
        <v>25</v>
      </c>
      <c r="D127" s="8" t="s">
        <v>202</v>
      </c>
      <c r="E127" s="8"/>
      <c r="F127" s="9">
        <f>F128+F129</f>
        <v>23390.400000000001</v>
      </c>
      <c r="G127" s="9">
        <f t="shared" ref="G127:H127" si="16">G128+G129</f>
        <v>1681.4</v>
      </c>
      <c r="H127" s="9">
        <f t="shared" si="16"/>
        <v>15919</v>
      </c>
    </row>
    <row r="128" spans="1:15" ht="25.5" x14ac:dyDescent="0.2">
      <c r="A128" s="27" t="s">
        <v>20</v>
      </c>
      <c r="B128" s="23" t="s">
        <v>44</v>
      </c>
      <c r="C128" s="23" t="s">
        <v>25</v>
      </c>
      <c r="D128" s="8" t="s">
        <v>202</v>
      </c>
      <c r="E128" s="24" t="s">
        <v>12</v>
      </c>
      <c r="F128" s="25">
        <f>380.9+16815.6</f>
        <v>17196.5</v>
      </c>
      <c r="G128" s="25">
        <f>20.5+1192.8</f>
        <v>1213.3</v>
      </c>
      <c r="H128" s="25">
        <f>134.1+11880.2</f>
        <v>12014.300000000001</v>
      </c>
    </row>
    <row r="129" spans="1:15" ht="25.5" x14ac:dyDescent="0.2">
      <c r="A129" s="27" t="s">
        <v>74</v>
      </c>
      <c r="B129" s="23" t="s">
        <v>44</v>
      </c>
      <c r="C129" s="23" t="s">
        <v>25</v>
      </c>
      <c r="D129" s="8" t="s">
        <v>202</v>
      </c>
      <c r="E129" s="23" t="s">
        <v>15</v>
      </c>
      <c r="F129" s="25">
        <f>6393.9-200</f>
        <v>6193.9</v>
      </c>
      <c r="G129" s="25">
        <v>468.1</v>
      </c>
      <c r="H129" s="25">
        <v>3904.7</v>
      </c>
    </row>
    <row r="130" spans="1:15" x14ac:dyDescent="0.2">
      <c r="A130" s="10" t="s">
        <v>205</v>
      </c>
      <c r="B130" s="8" t="s">
        <v>44</v>
      </c>
      <c r="C130" s="8" t="s">
        <v>25</v>
      </c>
      <c r="D130" s="23" t="s">
        <v>204</v>
      </c>
      <c r="E130" s="8"/>
      <c r="F130" s="9">
        <f>+F131+F132</f>
        <v>32342.5</v>
      </c>
      <c r="G130" s="9">
        <f t="shared" ref="G130:H130" si="17">+G131+G132</f>
        <v>1881.1999999999998</v>
      </c>
      <c r="H130" s="9">
        <f t="shared" si="17"/>
        <v>16172.3</v>
      </c>
    </row>
    <row r="131" spans="1:15" ht="25.5" x14ac:dyDescent="0.2">
      <c r="A131" s="27" t="s">
        <v>20</v>
      </c>
      <c r="B131" s="8" t="s">
        <v>44</v>
      </c>
      <c r="C131" s="8" t="s">
        <v>25</v>
      </c>
      <c r="D131" s="23" t="s">
        <v>204</v>
      </c>
      <c r="E131" s="23" t="s">
        <v>12</v>
      </c>
      <c r="F131" s="25">
        <f>19742.5</f>
        <v>19742.5</v>
      </c>
      <c r="G131" s="25">
        <v>1313.1</v>
      </c>
      <c r="H131" s="25">
        <v>10187.9</v>
      </c>
    </row>
    <row r="132" spans="1:15" s="26" customFormat="1" ht="25.5" x14ac:dyDescent="0.2">
      <c r="A132" s="27" t="s">
        <v>74</v>
      </c>
      <c r="B132" s="8" t="s">
        <v>44</v>
      </c>
      <c r="C132" s="8" t="s">
        <v>25</v>
      </c>
      <c r="D132" s="23" t="s">
        <v>204</v>
      </c>
      <c r="E132" s="23" t="s">
        <v>15</v>
      </c>
      <c r="F132" s="25">
        <f>6400+6200</f>
        <v>12600</v>
      </c>
      <c r="G132" s="25">
        <v>568.1</v>
      </c>
      <c r="H132" s="25">
        <v>5984.4</v>
      </c>
    </row>
    <row r="133" spans="1:15" ht="25.5" x14ac:dyDescent="0.2">
      <c r="A133" s="10" t="s">
        <v>206</v>
      </c>
      <c r="B133" s="8" t="s">
        <v>44</v>
      </c>
      <c r="C133" s="8" t="s">
        <v>25</v>
      </c>
      <c r="D133" s="8" t="s">
        <v>207</v>
      </c>
      <c r="E133" s="8"/>
      <c r="F133" s="9">
        <f>F134</f>
        <v>6538.3</v>
      </c>
      <c r="G133" s="9">
        <f>G134</f>
        <v>0</v>
      </c>
      <c r="H133" s="9">
        <f>H134</f>
        <v>0</v>
      </c>
    </row>
    <row r="134" spans="1:15" ht="25.5" x14ac:dyDescent="0.2">
      <c r="A134" s="27" t="s">
        <v>20</v>
      </c>
      <c r="B134" s="23" t="s">
        <v>44</v>
      </c>
      <c r="C134" s="23" t="s">
        <v>25</v>
      </c>
      <c r="D134" s="23" t="s">
        <v>207</v>
      </c>
      <c r="E134" s="23" t="s">
        <v>12</v>
      </c>
      <c r="F134" s="25">
        <v>6538.3</v>
      </c>
      <c r="G134" s="25"/>
      <c r="H134" s="25"/>
    </row>
    <row r="135" spans="1:15" ht="25.5" x14ac:dyDescent="0.2">
      <c r="A135" s="10" t="s">
        <v>347</v>
      </c>
      <c r="B135" s="8" t="s">
        <v>44</v>
      </c>
      <c r="C135" s="8" t="s">
        <v>25</v>
      </c>
      <c r="D135" s="8" t="s">
        <v>208</v>
      </c>
      <c r="E135" s="8"/>
      <c r="F135" s="9">
        <f>F136</f>
        <v>1087.0999999999999</v>
      </c>
      <c r="G135" s="9">
        <f>G136</f>
        <v>1087.0999999999999</v>
      </c>
      <c r="H135" s="9">
        <f>H136</f>
        <v>1087.0999999999999</v>
      </c>
    </row>
    <row r="136" spans="1:15" x14ac:dyDescent="0.2">
      <c r="A136" s="27" t="s">
        <v>16</v>
      </c>
      <c r="B136" s="23" t="s">
        <v>44</v>
      </c>
      <c r="C136" s="23" t="s">
        <v>25</v>
      </c>
      <c r="D136" s="23" t="s">
        <v>208</v>
      </c>
      <c r="E136" s="23" t="s">
        <v>17</v>
      </c>
      <c r="F136" s="25">
        <v>1087.0999999999999</v>
      </c>
      <c r="G136" s="25">
        <v>1087.0999999999999</v>
      </c>
      <c r="H136" s="25">
        <v>1087.0999999999999</v>
      </c>
    </row>
    <row r="137" spans="1:15" x14ac:dyDescent="0.2">
      <c r="A137" s="14" t="s">
        <v>46</v>
      </c>
      <c r="B137" s="11" t="s">
        <v>44</v>
      </c>
      <c r="C137" s="11" t="s">
        <v>28</v>
      </c>
      <c r="D137" s="11"/>
      <c r="E137" s="11"/>
      <c r="F137" s="12">
        <f>F138+F148+F150+F152+F142+F144+F140+4600</f>
        <v>127414.70000000001</v>
      </c>
      <c r="G137" s="12">
        <f t="shared" ref="G137:H137" si="18">G138+G148+G150+G152+G142+G144+G140</f>
        <v>3871</v>
      </c>
      <c r="H137" s="12">
        <f t="shared" si="18"/>
        <v>3449</v>
      </c>
    </row>
    <row r="138" spans="1:15" ht="25.5" x14ac:dyDescent="0.2">
      <c r="A138" s="5" t="s">
        <v>209</v>
      </c>
      <c r="B138" s="8" t="s">
        <v>44</v>
      </c>
      <c r="C138" s="8" t="s">
        <v>28</v>
      </c>
      <c r="D138" s="8" t="s">
        <v>210</v>
      </c>
      <c r="E138" s="8"/>
      <c r="F138" s="9">
        <f>F139</f>
        <v>2000</v>
      </c>
      <c r="G138" s="9">
        <f t="shared" ref="G138:H138" si="19">G139</f>
        <v>2701</v>
      </c>
      <c r="H138" s="9">
        <f t="shared" si="19"/>
        <v>2379</v>
      </c>
    </row>
    <row r="139" spans="1:15" ht="25.5" x14ac:dyDescent="0.2">
      <c r="A139" s="27" t="s">
        <v>20</v>
      </c>
      <c r="B139" s="23" t="s">
        <v>44</v>
      </c>
      <c r="C139" s="23" t="s">
        <v>28</v>
      </c>
      <c r="D139" s="23" t="s">
        <v>210</v>
      </c>
      <c r="E139" s="23" t="s">
        <v>12</v>
      </c>
      <c r="F139" s="25">
        <v>2000</v>
      </c>
      <c r="G139" s="25">
        <v>2701</v>
      </c>
      <c r="H139" s="25">
        <v>2379</v>
      </c>
    </row>
    <row r="140" spans="1:15" ht="25.5" x14ac:dyDescent="0.2">
      <c r="A140" s="5" t="s">
        <v>214</v>
      </c>
      <c r="B140" s="8" t="s">
        <v>44</v>
      </c>
      <c r="C140" s="8" t="s">
        <v>28</v>
      </c>
      <c r="D140" s="8" t="s">
        <v>213</v>
      </c>
      <c r="E140" s="8"/>
      <c r="F140" s="9">
        <f>F141</f>
        <v>59030</v>
      </c>
      <c r="G140" s="9">
        <f t="shared" ref="G140:H140" si="20">G141</f>
        <v>0</v>
      </c>
      <c r="H140" s="9">
        <f t="shared" si="20"/>
        <v>0</v>
      </c>
    </row>
    <row r="141" spans="1:15" ht="25.5" x14ac:dyDescent="0.2">
      <c r="A141" s="27" t="s">
        <v>74</v>
      </c>
      <c r="B141" s="23" t="s">
        <v>44</v>
      </c>
      <c r="C141" s="23" t="s">
        <v>28</v>
      </c>
      <c r="D141" s="23" t="s">
        <v>213</v>
      </c>
      <c r="E141" s="23" t="s">
        <v>15</v>
      </c>
      <c r="F141" s="25">
        <f>3827+55203</f>
        <v>59030</v>
      </c>
      <c r="G141" s="25"/>
      <c r="H141" s="25"/>
    </row>
    <row r="142" spans="1:15" s="3" customFormat="1" x14ac:dyDescent="0.2">
      <c r="A142" s="5" t="s">
        <v>211</v>
      </c>
      <c r="B142" s="8" t="s">
        <v>44</v>
      </c>
      <c r="C142" s="8" t="s">
        <v>28</v>
      </c>
      <c r="D142" s="8" t="s">
        <v>212</v>
      </c>
      <c r="E142" s="8"/>
      <c r="F142" s="9">
        <f>F143</f>
        <v>770</v>
      </c>
      <c r="G142" s="9">
        <f>G143</f>
        <v>770</v>
      </c>
      <c r="H142" s="9">
        <f>H143</f>
        <v>770</v>
      </c>
      <c r="I142" s="26"/>
      <c r="J142" s="26"/>
      <c r="K142" s="26"/>
      <c r="L142" s="26"/>
      <c r="M142" s="26"/>
      <c r="N142" s="26"/>
      <c r="O142" s="26"/>
    </row>
    <row r="143" spans="1:15" s="3" customFormat="1" ht="25.5" x14ac:dyDescent="0.2">
      <c r="A143" s="27" t="s">
        <v>20</v>
      </c>
      <c r="B143" s="23" t="s">
        <v>44</v>
      </c>
      <c r="C143" s="23" t="s">
        <v>28</v>
      </c>
      <c r="D143" s="23" t="s">
        <v>212</v>
      </c>
      <c r="E143" s="23" t="s">
        <v>12</v>
      </c>
      <c r="F143" s="25">
        <v>770</v>
      </c>
      <c r="G143" s="25">
        <v>770</v>
      </c>
      <c r="H143" s="25">
        <v>770</v>
      </c>
      <c r="I143" s="13"/>
      <c r="J143" s="13"/>
      <c r="K143" s="13"/>
      <c r="L143" s="13"/>
      <c r="M143" s="13"/>
      <c r="N143" s="13"/>
      <c r="O143" s="13"/>
    </row>
    <row r="144" spans="1:15" s="3" customFormat="1" x14ac:dyDescent="0.2">
      <c r="A144" s="5" t="s">
        <v>217</v>
      </c>
      <c r="B144" s="8" t="s">
        <v>44</v>
      </c>
      <c r="C144" s="8" t="s">
        <v>28</v>
      </c>
      <c r="D144" s="8" t="s">
        <v>216</v>
      </c>
      <c r="E144" s="8"/>
      <c r="F144" s="9">
        <f>F145</f>
        <v>700</v>
      </c>
      <c r="G144" s="9">
        <f t="shared" ref="G144:H144" si="21">G145</f>
        <v>400</v>
      </c>
      <c r="H144" s="9">
        <f t="shared" si="21"/>
        <v>300</v>
      </c>
      <c r="I144" s="26"/>
      <c r="J144" s="26"/>
      <c r="K144" s="26"/>
      <c r="L144" s="26"/>
      <c r="M144" s="26"/>
      <c r="N144" s="26"/>
      <c r="O144" s="26"/>
    </row>
    <row r="145" spans="1:15" s="3" customFormat="1" ht="25.5" x14ac:dyDescent="0.2">
      <c r="A145" s="27" t="s">
        <v>20</v>
      </c>
      <c r="B145" s="23" t="s">
        <v>44</v>
      </c>
      <c r="C145" s="23" t="s">
        <v>28</v>
      </c>
      <c r="D145" s="23" t="s">
        <v>216</v>
      </c>
      <c r="E145" s="23" t="s">
        <v>12</v>
      </c>
      <c r="F145" s="25">
        <v>700</v>
      </c>
      <c r="G145" s="25">
        <v>400</v>
      </c>
      <c r="H145" s="25">
        <v>300</v>
      </c>
      <c r="I145" s="13"/>
      <c r="J145" s="13"/>
      <c r="K145" s="13"/>
      <c r="L145" s="13"/>
      <c r="M145" s="13"/>
      <c r="N145" s="13"/>
      <c r="O145" s="13"/>
    </row>
    <row r="146" spans="1:15" s="3" customFormat="1" ht="18" customHeight="1" x14ac:dyDescent="0.2">
      <c r="A146" s="5" t="s">
        <v>363</v>
      </c>
      <c r="B146" s="8" t="s">
        <v>44</v>
      </c>
      <c r="C146" s="8" t="s">
        <v>28</v>
      </c>
      <c r="D146" s="8" t="s">
        <v>364</v>
      </c>
      <c r="E146" s="8"/>
      <c r="F146" s="9">
        <f>F147</f>
        <v>4600</v>
      </c>
      <c r="G146" s="9">
        <f>G147</f>
        <v>0</v>
      </c>
      <c r="H146" s="9">
        <f>H147</f>
        <v>0</v>
      </c>
      <c r="I146" s="26"/>
      <c r="J146" s="26"/>
      <c r="K146" s="26"/>
      <c r="L146" s="26"/>
      <c r="M146" s="26"/>
      <c r="N146" s="26"/>
      <c r="O146" s="26"/>
    </row>
    <row r="147" spans="1:15" s="3" customFormat="1" ht="25.5" x14ac:dyDescent="0.2">
      <c r="A147" s="27" t="s">
        <v>20</v>
      </c>
      <c r="B147" s="23" t="s">
        <v>44</v>
      </c>
      <c r="C147" s="23" t="s">
        <v>28</v>
      </c>
      <c r="D147" s="23" t="s">
        <v>364</v>
      </c>
      <c r="E147" s="23" t="s">
        <v>12</v>
      </c>
      <c r="F147" s="25">
        <v>4600</v>
      </c>
      <c r="G147" s="25">
        <v>0</v>
      </c>
      <c r="H147" s="25">
        <v>0</v>
      </c>
      <c r="I147" s="13"/>
      <c r="J147" s="13"/>
      <c r="K147" s="13"/>
      <c r="L147" s="13"/>
      <c r="M147" s="13"/>
      <c r="N147" s="13"/>
      <c r="O147" s="13"/>
    </row>
    <row r="148" spans="1:15" ht="54.75" customHeight="1" x14ac:dyDescent="0.2">
      <c r="A148" s="10" t="s">
        <v>332</v>
      </c>
      <c r="B148" s="8" t="s">
        <v>44</v>
      </c>
      <c r="C148" s="8" t="s">
        <v>28</v>
      </c>
      <c r="D148" s="8" t="s">
        <v>218</v>
      </c>
      <c r="E148" s="8"/>
      <c r="F148" s="9">
        <f>F149</f>
        <v>55884</v>
      </c>
      <c r="G148" s="9">
        <f>G149</f>
        <v>0</v>
      </c>
      <c r="H148" s="9">
        <f>H149</f>
        <v>0</v>
      </c>
    </row>
    <row r="149" spans="1:15" x14ac:dyDescent="0.2">
      <c r="A149" s="27" t="s">
        <v>16</v>
      </c>
      <c r="B149" s="23" t="s">
        <v>44</v>
      </c>
      <c r="C149" s="23" t="s">
        <v>28</v>
      </c>
      <c r="D149" s="23" t="s">
        <v>218</v>
      </c>
      <c r="E149" s="23" t="s">
        <v>17</v>
      </c>
      <c r="F149" s="25">
        <f>29467.8+84762.4+1456.8-55203-4600</f>
        <v>55884</v>
      </c>
      <c r="G149" s="25"/>
      <c r="H149" s="25"/>
    </row>
    <row r="150" spans="1:15" ht="63.75" x14ac:dyDescent="0.2">
      <c r="A150" s="5" t="s">
        <v>333</v>
      </c>
      <c r="B150" s="8" t="s">
        <v>44</v>
      </c>
      <c r="C150" s="8" t="s">
        <v>28</v>
      </c>
      <c r="D150" s="8" t="s">
        <v>219</v>
      </c>
      <c r="E150" s="8"/>
      <c r="F150" s="9">
        <f>F151</f>
        <v>1511.3</v>
      </c>
      <c r="G150" s="9">
        <f>G151</f>
        <v>0</v>
      </c>
      <c r="H150" s="9">
        <f>H151</f>
        <v>0</v>
      </c>
    </row>
    <row r="151" spans="1:15" x14ac:dyDescent="0.2">
      <c r="A151" s="27" t="s">
        <v>16</v>
      </c>
      <c r="B151" s="23" t="s">
        <v>44</v>
      </c>
      <c r="C151" s="23" t="s">
        <v>28</v>
      </c>
      <c r="D151" s="23" t="s">
        <v>219</v>
      </c>
      <c r="E151" s="23" t="s">
        <v>17</v>
      </c>
      <c r="F151" s="25">
        <v>1511.3</v>
      </c>
      <c r="G151" s="25"/>
      <c r="H151" s="25"/>
    </row>
    <row r="152" spans="1:15" ht="38.25" x14ac:dyDescent="0.2">
      <c r="A152" s="10" t="s">
        <v>220</v>
      </c>
      <c r="B152" s="8" t="s">
        <v>44</v>
      </c>
      <c r="C152" s="8" t="s">
        <v>28</v>
      </c>
      <c r="D152" s="8" t="s">
        <v>221</v>
      </c>
      <c r="E152" s="8"/>
      <c r="F152" s="9">
        <f>F153</f>
        <v>2919.4</v>
      </c>
      <c r="G152" s="9">
        <f>G153</f>
        <v>0</v>
      </c>
      <c r="H152" s="9">
        <f>H153</f>
        <v>0</v>
      </c>
    </row>
    <row r="153" spans="1:15" x14ac:dyDescent="0.2">
      <c r="A153" s="27" t="s">
        <v>16</v>
      </c>
      <c r="B153" s="23" t="s">
        <v>44</v>
      </c>
      <c r="C153" s="23" t="s">
        <v>28</v>
      </c>
      <c r="D153" s="23" t="s">
        <v>221</v>
      </c>
      <c r="E153" s="23" t="s">
        <v>17</v>
      </c>
      <c r="F153" s="25">
        <v>2919.4</v>
      </c>
      <c r="G153" s="25"/>
      <c r="H153" s="25"/>
    </row>
    <row r="154" spans="1:15" x14ac:dyDescent="0.2">
      <c r="A154" s="14" t="s">
        <v>47</v>
      </c>
      <c r="B154" s="11" t="s">
        <v>44</v>
      </c>
      <c r="C154" s="11" t="s">
        <v>30</v>
      </c>
      <c r="D154" s="11"/>
      <c r="E154" s="11"/>
      <c r="F154" s="12">
        <f>F157+F159+F161+F163+F155</f>
        <v>10560</v>
      </c>
      <c r="G154" s="12">
        <f t="shared" ref="G154:H154" si="22">G157+G159+G161+G163+G155</f>
        <v>10710</v>
      </c>
      <c r="H154" s="12">
        <f t="shared" si="22"/>
        <v>10560</v>
      </c>
    </row>
    <row r="155" spans="1:15" s="3" customFormat="1" ht="25.5" x14ac:dyDescent="0.2">
      <c r="A155" s="5" t="s">
        <v>380</v>
      </c>
      <c r="B155" s="8" t="s">
        <v>44</v>
      </c>
      <c r="C155" s="8" t="s">
        <v>30</v>
      </c>
      <c r="D155" s="8" t="s">
        <v>381</v>
      </c>
      <c r="E155" s="8"/>
      <c r="F155" s="9">
        <f>F156</f>
        <v>0</v>
      </c>
      <c r="G155" s="9">
        <f>G156</f>
        <v>150</v>
      </c>
      <c r="H155" s="9">
        <f>H156</f>
        <v>0</v>
      </c>
      <c r="I155" s="26"/>
      <c r="J155" s="26"/>
      <c r="K155" s="26"/>
      <c r="L155" s="26"/>
      <c r="M155" s="26"/>
      <c r="N155" s="26"/>
    </row>
    <row r="156" spans="1:15" s="3" customFormat="1" ht="25.5" x14ac:dyDescent="0.2">
      <c r="A156" s="27" t="s">
        <v>20</v>
      </c>
      <c r="B156" s="23" t="s">
        <v>44</v>
      </c>
      <c r="C156" s="23" t="s">
        <v>30</v>
      </c>
      <c r="D156" s="8" t="s">
        <v>381</v>
      </c>
      <c r="E156" s="23" t="s">
        <v>12</v>
      </c>
      <c r="F156" s="25">
        <v>0</v>
      </c>
      <c r="G156" s="25">
        <v>150</v>
      </c>
      <c r="H156" s="25">
        <v>0</v>
      </c>
      <c r="I156" s="13"/>
      <c r="J156" s="13"/>
      <c r="K156" s="13"/>
      <c r="L156" s="13"/>
      <c r="M156" s="13"/>
      <c r="N156" s="13"/>
    </row>
    <row r="157" spans="1:15" x14ac:dyDescent="0.2">
      <c r="A157" s="10" t="s">
        <v>222</v>
      </c>
      <c r="B157" s="8" t="s">
        <v>44</v>
      </c>
      <c r="C157" s="8" t="s">
        <v>30</v>
      </c>
      <c r="D157" s="8" t="s">
        <v>223</v>
      </c>
      <c r="E157" s="8"/>
      <c r="F157" s="9">
        <f>F158</f>
        <v>400</v>
      </c>
      <c r="G157" s="9">
        <f>G158</f>
        <v>400</v>
      </c>
      <c r="H157" s="9">
        <f>H158</f>
        <v>400</v>
      </c>
    </row>
    <row r="158" spans="1:15" ht="25.5" x14ac:dyDescent="0.2">
      <c r="A158" s="27" t="s">
        <v>215</v>
      </c>
      <c r="B158" s="23" t="s">
        <v>44</v>
      </c>
      <c r="C158" s="23" t="s">
        <v>30</v>
      </c>
      <c r="D158" s="23" t="s">
        <v>223</v>
      </c>
      <c r="E158" s="23" t="s">
        <v>8</v>
      </c>
      <c r="F158" s="25">
        <v>400</v>
      </c>
      <c r="G158" s="25">
        <v>400</v>
      </c>
      <c r="H158" s="25">
        <v>400</v>
      </c>
    </row>
    <row r="159" spans="1:15" ht="25.5" x14ac:dyDescent="0.2">
      <c r="A159" s="10" t="s">
        <v>226</v>
      </c>
      <c r="B159" s="8" t="s">
        <v>44</v>
      </c>
      <c r="C159" s="8" t="s">
        <v>30</v>
      </c>
      <c r="D159" s="8" t="s">
        <v>224</v>
      </c>
      <c r="E159" s="8"/>
      <c r="F159" s="9">
        <f>F160</f>
        <v>3000</v>
      </c>
      <c r="G159" s="9">
        <f>G160</f>
        <v>3000</v>
      </c>
      <c r="H159" s="9">
        <f>H160</f>
        <v>3000</v>
      </c>
    </row>
    <row r="160" spans="1:15" ht="25.5" x14ac:dyDescent="0.2">
      <c r="A160" s="27" t="s">
        <v>215</v>
      </c>
      <c r="B160" s="23" t="s">
        <v>44</v>
      </c>
      <c r="C160" s="23" t="s">
        <v>30</v>
      </c>
      <c r="D160" s="23" t="s">
        <v>225</v>
      </c>
      <c r="E160" s="23" t="s">
        <v>8</v>
      </c>
      <c r="F160" s="25">
        <v>3000</v>
      </c>
      <c r="G160" s="25">
        <v>3000</v>
      </c>
      <c r="H160" s="25">
        <v>3000</v>
      </c>
    </row>
    <row r="161" spans="1:8" x14ac:dyDescent="0.2">
      <c r="A161" s="10" t="s">
        <v>228</v>
      </c>
      <c r="B161" s="23" t="s">
        <v>44</v>
      </c>
      <c r="C161" s="23" t="s">
        <v>30</v>
      </c>
      <c r="D161" s="8" t="s">
        <v>227</v>
      </c>
      <c r="E161" s="23"/>
      <c r="F161" s="25">
        <f>F162</f>
        <v>1500</v>
      </c>
      <c r="G161" s="25">
        <f>G162</f>
        <v>1500</v>
      </c>
      <c r="H161" s="25">
        <f>H162</f>
        <v>1500</v>
      </c>
    </row>
    <row r="162" spans="1:8" ht="25.5" x14ac:dyDescent="0.2">
      <c r="A162" s="27" t="s">
        <v>215</v>
      </c>
      <c r="B162" s="23" t="s">
        <v>44</v>
      </c>
      <c r="C162" s="23" t="s">
        <v>30</v>
      </c>
      <c r="D162" s="23" t="s">
        <v>227</v>
      </c>
      <c r="E162" s="23" t="s">
        <v>8</v>
      </c>
      <c r="F162" s="25">
        <v>1500</v>
      </c>
      <c r="G162" s="25">
        <v>1500</v>
      </c>
      <c r="H162" s="25">
        <v>1500</v>
      </c>
    </row>
    <row r="163" spans="1:8" ht="25.5" x14ac:dyDescent="0.2">
      <c r="A163" s="10" t="s">
        <v>230</v>
      </c>
      <c r="B163" s="8" t="s">
        <v>44</v>
      </c>
      <c r="C163" s="8" t="s">
        <v>30</v>
      </c>
      <c r="D163" s="6" t="s">
        <v>229</v>
      </c>
      <c r="E163" s="8"/>
      <c r="F163" s="9">
        <f>F164</f>
        <v>5660</v>
      </c>
      <c r="G163" s="9">
        <f>G164</f>
        <v>5660</v>
      </c>
      <c r="H163" s="9">
        <f>H164</f>
        <v>5660</v>
      </c>
    </row>
    <row r="164" spans="1:8" ht="25.5" x14ac:dyDescent="0.2">
      <c r="A164" s="27" t="s">
        <v>215</v>
      </c>
      <c r="B164" s="23" t="s">
        <v>44</v>
      </c>
      <c r="C164" s="23" t="s">
        <v>30</v>
      </c>
      <c r="D164" s="6" t="s">
        <v>229</v>
      </c>
      <c r="E164" s="23" t="s">
        <v>8</v>
      </c>
      <c r="F164" s="25">
        <v>5660</v>
      </c>
      <c r="G164" s="25">
        <v>5660</v>
      </c>
      <c r="H164" s="25">
        <v>5660</v>
      </c>
    </row>
    <row r="165" spans="1:8" ht="15.75" customHeight="1" x14ac:dyDescent="0.2">
      <c r="A165" s="14" t="s">
        <v>48</v>
      </c>
      <c r="B165" s="11" t="s">
        <v>44</v>
      </c>
      <c r="C165" s="11" t="s">
        <v>44</v>
      </c>
      <c r="D165" s="11"/>
      <c r="E165" s="11"/>
      <c r="F165" s="12">
        <f>F166+F168+F171</f>
        <v>22025.300000000003</v>
      </c>
      <c r="G165" s="12">
        <f t="shared" ref="G165:H165" si="23">G166+G168+G171</f>
        <v>22025.300000000003</v>
      </c>
      <c r="H165" s="12">
        <f t="shared" si="23"/>
        <v>22025.300000000003</v>
      </c>
    </row>
    <row r="166" spans="1:8" ht="38.25" x14ac:dyDescent="0.2">
      <c r="A166" s="10" t="s">
        <v>232</v>
      </c>
      <c r="B166" s="8" t="s">
        <v>44</v>
      </c>
      <c r="C166" s="8" t="s">
        <v>44</v>
      </c>
      <c r="D166" s="8" t="s">
        <v>231</v>
      </c>
      <c r="E166" s="8"/>
      <c r="F166" s="9">
        <f>F167</f>
        <v>6359.7</v>
      </c>
      <c r="G166" s="9">
        <f>G167</f>
        <v>6359.7</v>
      </c>
      <c r="H166" s="9">
        <f>H167</f>
        <v>6359.7</v>
      </c>
    </row>
    <row r="167" spans="1:8" ht="25.5" x14ac:dyDescent="0.2">
      <c r="A167" s="27" t="s">
        <v>215</v>
      </c>
      <c r="B167" s="23" t="s">
        <v>44</v>
      </c>
      <c r="C167" s="23" t="s">
        <v>44</v>
      </c>
      <c r="D167" s="23" t="s">
        <v>231</v>
      </c>
      <c r="E167" s="23" t="s">
        <v>8</v>
      </c>
      <c r="F167" s="25">
        <f>6299.2+60.5</f>
        <v>6359.7</v>
      </c>
      <c r="G167" s="25">
        <f>6299.2+60.5</f>
        <v>6359.7</v>
      </c>
      <c r="H167" s="25">
        <f>6299.2+60.5</f>
        <v>6359.7</v>
      </c>
    </row>
    <row r="168" spans="1:8" ht="25.5" x14ac:dyDescent="0.2">
      <c r="A168" s="10" t="s">
        <v>234</v>
      </c>
      <c r="B168" s="8" t="s">
        <v>44</v>
      </c>
      <c r="C168" s="8" t="s">
        <v>44</v>
      </c>
      <c r="D168" s="8" t="s">
        <v>233</v>
      </c>
      <c r="E168" s="8"/>
      <c r="F168" s="9">
        <f>F169+F170</f>
        <v>4434.2</v>
      </c>
      <c r="G168" s="9">
        <f t="shared" ref="G168:H168" si="24">G169+G170</f>
        <v>4434.2</v>
      </c>
      <c r="H168" s="9">
        <f t="shared" si="24"/>
        <v>4434.2</v>
      </c>
    </row>
    <row r="169" spans="1:8" ht="51" x14ac:dyDescent="0.2">
      <c r="A169" s="22" t="s">
        <v>9</v>
      </c>
      <c r="B169" s="23" t="s">
        <v>44</v>
      </c>
      <c r="C169" s="23" t="s">
        <v>44</v>
      </c>
      <c r="D169" s="23" t="s">
        <v>233</v>
      </c>
      <c r="E169" s="23" t="s">
        <v>10</v>
      </c>
      <c r="F169" s="25">
        <f>3230.8+975.7+0.8+40.5</f>
        <v>4247.8</v>
      </c>
      <c r="G169" s="25">
        <f>3230.8+975.7+0.8+40.5</f>
        <v>4247.8</v>
      </c>
      <c r="H169" s="25">
        <f>3230.8+975.7+0.8+40.5</f>
        <v>4247.8</v>
      </c>
    </row>
    <row r="170" spans="1:8" ht="25.5" x14ac:dyDescent="0.2">
      <c r="A170" s="27" t="s">
        <v>20</v>
      </c>
      <c r="B170" s="23" t="s">
        <v>44</v>
      </c>
      <c r="C170" s="23" t="s">
        <v>44</v>
      </c>
      <c r="D170" s="23" t="s">
        <v>233</v>
      </c>
      <c r="E170" s="23" t="s">
        <v>12</v>
      </c>
      <c r="F170" s="25">
        <f>40+0.8+8+62.4+46+30-0.8</f>
        <v>186.39999999999998</v>
      </c>
      <c r="G170" s="25">
        <f>40+0.8+8+62.4+46+30-0.8</f>
        <v>186.39999999999998</v>
      </c>
      <c r="H170" s="25">
        <f>40+0.8+8+62.4+46+30-0.8</f>
        <v>186.39999999999998</v>
      </c>
    </row>
    <row r="171" spans="1:8" ht="38.25" x14ac:dyDescent="0.2">
      <c r="A171" s="10" t="s">
        <v>236</v>
      </c>
      <c r="B171" s="23" t="s">
        <v>44</v>
      </c>
      <c r="C171" s="23" t="s">
        <v>44</v>
      </c>
      <c r="D171" s="8" t="s">
        <v>235</v>
      </c>
      <c r="E171" s="1"/>
      <c r="F171" s="2">
        <f>F172</f>
        <v>11231.400000000001</v>
      </c>
      <c r="G171" s="2">
        <f>G172</f>
        <v>11231.400000000001</v>
      </c>
      <c r="H171" s="2">
        <f>H172</f>
        <v>11231.400000000001</v>
      </c>
    </row>
    <row r="172" spans="1:8" ht="25.5" x14ac:dyDescent="0.2">
      <c r="A172" s="27" t="s">
        <v>215</v>
      </c>
      <c r="B172" s="23" t="s">
        <v>44</v>
      </c>
      <c r="C172" s="23" t="s">
        <v>44</v>
      </c>
      <c r="D172" s="23" t="s">
        <v>235</v>
      </c>
      <c r="E172" s="23" t="s">
        <v>8</v>
      </c>
      <c r="F172" s="25">
        <f>11136.2+95.2</f>
        <v>11231.400000000001</v>
      </c>
      <c r="G172" s="25">
        <f>11136.2+95.2</f>
        <v>11231.400000000001</v>
      </c>
      <c r="H172" s="25">
        <f>11136.2+95.2</f>
        <v>11231.400000000001</v>
      </c>
    </row>
    <row r="173" spans="1:8" ht="15.75" x14ac:dyDescent="0.25">
      <c r="A173" s="35" t="s">
        <v>49</v>
      </c>
      <c r="B173" s="33" t="s">
        <v>33</v>
      </c>
      <c r="C173" s="33" t="s">
        <v>26</v>
      </c>
      <c r="D173" s="33"/>
      <c r="E173" s="33"/>
      <c r="F173" s="34">
        <f>F174+F186+F235+F229+F215</f>
        <v>1046052.1000000001</v>
      </c>
      <c r="G173" s="34">
        <f>G174+G186+G235+G229+G215</f>
        <v>1046497.5000000001</v>
      </c>
      <c r="H173" s="34">
        <f>H174+H186+H235+H229+H215</f>
        <v>1046954.1000000001</v>
      </c>
    </row>
    <row r="174" spans="1:8" x14ac:dyDescent="0.2">
      <c r="A174" s="14" t="s">
        <v>50</v>
      </c>
      <c r="B174" s="11" t="s">
        <v>33</v>
      </c>
      <c r="C174" s="11" t="s">
        <v>25</v>
      </c>
      <c r="D174" s="11"/>
      <c r="E174" s="11"/>
      <c r="F174" s="12">
        <f>F175+F177+F181</f>
        <v>351392</v>
      </c>
      <c r="G174" s="12">
        <f t="shared" ref="G174:H174" si="25">G175+G177+G181</f>
        <v>353157.5</v>
      </c>
      <c r="H174" s="12">
        <f t="shared" si="25"/>
        <v>353540.8</v>
      </c>
    </row>
    <row r="175" spans="1:8" x14ac:dyDescent="0.2">
      <c r="A175" s="10" t="s">
        <v>205</v>
      </c>
      <c r="B175" s="8" t="s">
        <v>33</v>
      </c>
      <c r="C175" s="8" t="s">
        <v>25</v>
      </c>
      <c r="D175" s="23" t="s">
        <v>204</v>
      </c>
      <c r="E175" s="8"/>
      <c r="F175" s="9">
        <f>F176</f>
        <v>155.6</v>
      </c>
      <c r="G175" s="9">
        <f>G176</f>
        <v>0</v>
      </c>
      <c r="H175" s="9">
        <f>H176</f>
        <v>0</v>
      </c>
    </row>
    <row r="176" spans="1:8" ht="25.5" x14ac:dyDescent="0.2">
      <c r="A176" s="27" t="s">
        <v>74</v>
      </c>
      <c r="B176" s="8" t="s">
        <v>33</v>
      </c>
      <c r="C176" s="8" t="s">
        <v>25</v>
      </c>
      <c r="D176" s="23" t="s">
        <v>204</v>
      </c>
      <c r="E176" s="23" t="s">
        <v>15</v>
      </c>
      <c r="F176" s="25">
        <v>155.6</v>
      </c>
      <c r="G176" s="25"/>
      <c r="H176" s="25"/>
    </row>
    <row r="177" spans="1:8" ht="51" x14ac:dyDescent="0.2">
      <c r="A177" s="58" t="s">
        <v>368</v>
      </c>
      <c r="B177" s="8" t="s">
        <v>33</v>
      </c>
      <c r="C177" s="8" t="s">
        <v>25</v>
      </c>
      <c r="D177" s="8" t="s">
        <v>115</v>
      </c>
      <c r="E177" s="8"/>
      <c r="F177" s="9">
        <f>F180+F178+F179</f>
        <v>216433.3</v>
      </c>
      <c r="G177" s="9">
        <f t="shared" ref="G177:H177" si="26">G180+G178+G179</f>
        <v>216433.3</v>
      </c>
      <c r="H177" s="9">
        <f t="shared" si="26"/>
        <v>216433.3</v>
      </c>
    </row>
    <row r="178" spans="1:8" ht="51" x14ac:dyDescent="0.2">
      <c r="A178" s="22" t="s">
        <v>9</v>
      </c>
      <c r="B178" s="23" t="s">
        <v>33</v>
      </c>
      <c r="C178" s="23" t="s">
        <v>25</v>
      </c>
      <c r="D178" s="23" t="s">
        <v>115</v>
      </c>
      <c r="E178" s="24" t="s">
        <v>10</v>
      </c>
      <c r="F178" s="25">
        <f>21839+6595.4+2952.7+891.7</f>
        <v>32278.800000000003</v>
      </c>
      <c r="G178" s="25">
        <f>21839+6595.4+2952.7+891.7</f>
        <v>32278.800000000003</v>
      </c>
      <c r="H178" s="25">
        <f>21839+6595.4+2952.7+891.7</f>
        <v>32278.800000000003</v>
      </c>
    </row>
    <row r="179" spans="1:8" ht="25.5" x14ac:dyDescent="0.2">
      <c r="A179" s="27" t="s">
        <v>20</v>
      </c>
      <c r="B179" s="23" t="s">
        <v>33</v>
      </c>
      <c r="C179" s="23" t="s">
        <v>25</v>
      </c>
      <c r="D179" s="23" t="s">
        <v>115</v>
      </c>
      <c r="E179" s="24" t="s">
        <v>12</v>
      </c>
      <c r="F179" s="25">
        <f>21+43.7+30+20</f>
        <v>114.7</v>
      </c>
      <c r="G179" s="25">
        <f>21+43.7+30+20</f>
        <v>114.7</v>
      </c>
      <c r="H179" s="25">
        <f>21+43.7+30+20</f>
        <v>114.7</v>
      </c>
    </row>
    <row r="180" spans="1:8" ht="25.5" x14ac:dyDescent="0.2">
      <c r="A180" s="27" t="s">
        <v>215</v>
      </c>
      <c r="B180" s="23" t="s">
        <v>33</v>
      </c>
      <c r="C180" s="23" t="s">
        <v>25</v>
      </c>
      <c r="D180" s="23" t="s">
        <v>115</v>
      </c>
      <c r="E180" s="23" t="s">
        <v>8</v>
      </c>
      <c r="F180" s="25">
        <f>111038.5+33533.6+358.5+218.7+150+492.3+12536.5+3786+30+30.3+36.5+75+15013.1+4533.9+1695+511.9</f>
        <v>184039.8</v>
      </c>
      <c r="G180" s="25">
        <f>111038.5+33533.6+358.5+218.7+150+492.3+12536.5+3786+30+30.3+36.5+75+15013.1+4533.9+1695+511.9</f>
        <v>184039.8</v>
      </c>
      <c r="H180" s="25">
        <f>111038.5+33533.6+358.5+218.7+150+492.3+12536.5+3786+30+30.3+36.5+75+15013.1+4533.9+1695+511.9</f>
        <v>184039.8</v>
      </c>
    </row>
    <row r="181" spans="1:8" ht="53.25" customHeight="1" x14ac:dyDescent="0.2">
      <c r="A181" s="10" t="s">
        <v>349</v>
      </c>
      <c r="B181" s="8" t="s">
        <v>33</v>
      </c>
      <c r="C181" s="8" t="s">
        <v>25</v>
      </c>
      <c r="D181" s="8" t="s">
        <v>239</v>
      </c>
      <c r="E181" s="8"/>
      <c r="F181" s="9">
        <f>F184+F183+F182+F185</f>
        <v>134803.1</v>
      </c>
      <c r="G181" s="9">
        <f>G184+G183+G182+G185</f>
        <v>136724.19999999998</v>
      </c>
      <c r="H181" s="9">
        <f>H184+H183+H182+H185</f>
        <v>137107.5</v>
      </c>
    </row>
    <row r="182" spans="1:8" ht="39.75" customHeight="1" x14ac:dyDescent="0.2">
      <c r="A182" s="22" t="s">
        <v>9</v>
      </c>
      <c r="B182" s="23" t="s">
        <v>33</v>
      </c>
      <c r="C182" s="23" t="s">
        <v>25</v>
      </c>
      <c r="D182" s="23" t="s">
        <v>239</v>
      </c>
      <c r="E182" s="24" t="s">
        <v>10</v>
      </c>
      <c r="F182" s="9">
        <f>11713.1+1122.7+103.8+245.8</f>
        <v>13185.4</v>
      </c>
      <c r="G182" s="9">
        <f>11713.1+103.8+324.7</f>
        <v>12141.6</v>
      </c>
      <c r="H182" s="9">
        <f>11713.1+103.8+405.4</f>
        <v>12222.3</v>
      </c>
    </row>
    <row r="183" spans="1:8" ht="25.5" x14ac:dyDescent="0.2">
      <c r="A183" s="27" t="s">
        <v>20</v>
      </c>
      <c r="B183" s="23" t="s">
        <v>33</v>
      </c>
      <c r="C183" s="23" t="s">
        <v>25</v>
      </c>
      <c r="D183" s="23" t="s">
        <v>239</v>
      </c>
      <c r="E183" s="24" t="s">
        <v>12</v>
      </c>
      <c r="F183" s="25">
        <f>4493.7+3188</f>
        <v>7681.7</v>
      </c>
      <c r="G183" s="25">
        <f>4493.7+3188</f>
        <v>7681.7</v>
      </c>
      <c r="H183" s="25">
        <f>4493.7+3188</f>
        <v>7681.7</v>
      </c>
    </row>
    <row r="184" spans="1:8" ht="25.5" x14ac:dyDescent="0.2">
      <c r="A184" s="27" t="s">
        <v>215</v>
      </c>
      <c r="B184" s="23" t="s">
        <v>33</v>
      </c>
      <c r="C184" s="23" t="s">
        <v>25</v>
      </c>
      <c r="D184" s="23" t="s">
        <v>239</v>
      </c>
      <c r="E184" s="23" t="s">
        <v>8</v>
      </c>
      <c r="F184" s="25">
        <f>113285.5-1122.7+737+920.2</f>
        <v>113820</v>
      </c>
      <c r="G184" s="25">
        <f>114832.4+737+1215.5</f>
        <v>116784.9</v>
      </c>
      <c r="H184" s="25">
        <f>114832.4+737+1518.1</f>
        <v>117087.5</v>
      </c>
    </row>
    <row r="185" spans="1:8" x14ac:dyDescent="0.2">
      <c r="A185" s="27" t="s">
        <v>16</v>
      </c>
      <c r="B185" s="23" t="s">
        <v>33</v>
      </c>
      <c r="C185" s="23" t="s">
        <v>25</v>
      </c>
      <c r="D185" s="23" t="s">
        <v>239</v>
      </c>
      <c r="E185" s="23" t="s">
        <v>17</v>
      </c>
      <c r="F185" s="25">
        <v>116</v>
      </c>
      <c r="G185" s="25">
        <v>116</v>
      </c>
      <c r="H185" s="25">
        <v>116</v>
      </c>
    </row>
    <row r="186" spans="1:8" x14ac:dyDescent="0.2">
      <c r="A186" s="14" t="s">
        <v>51</v>
      </c>
      <c r="B186" s="11" t="s">
        <v>33</v>
      </c>
      <c r="C186" s="11" t="s">
        <v>28</v>
      </c>
      <c r="D186" s="11"/>
      <c r="E186" s="11"/>
      <c r="F186" s="12">
        <f>F187+F191+F195+F197+F199+F203+F212+F209+F206</f>
        <v>452453.20000000007</v>
      </c>
      <c r="G186" s="12">
        <f t="shared" ref="G186:H186" si="27">G187+G191+G195+G197+G199+G203+G212+G209+G206</f>
        <v>454697.50000000012</v>
      </c>
      <c r="H186" s="12">
        <f t="shared" si="27"/>
        <v>454697.50000000012</v>
      </c>
    </row>
    <row r="187" spans="1:8" ht="25.5" x14ac:dyDescent="0.2">
      <c r="A187" s="10" t="s">
        <v>240</v>
      </c>
      <c r="B187" s="8" t="s">
        <v>33</v>
      </c>
      <c r="C187" s="8" t="s">
        <v>28</v>
      </c>
      <c r="D187" s="8" t="s">
        <v>113</v>
      </c>
      <c r="E187" s="8"/>
      <c r="F187" s="9">
        <f>F188+F189+F190</f>
        <v>49380.800000000003</v>
      </c>
      <c r="G187" s="9">
        <f>G188+G189+G190</f>
        <v>49380.800000000003</v>
      </c>
      <c r="H187" s="9">
        <f>H188+H189+H190</f>
        <v>49380.800000000003</v>
      </c>
    </row>
    <row r="188" spans="1:8" ht="51" x14ac:dyDescent="0.2">
      <c r="A188" s="22" t="s">
        <v>9</v>
      </c>
      <c r="B188" s="23" t="s">
        <v>33</v>
      </c>
      <c r="C188" s="23" t="s">
        <v>28</v>
      </c>
      <c r="D188" s="23" t="s">
        <v>113</v>
      </c>
      <c r="E188" s="24" t="s">
        <v>10</v>
      </c>
      <c r="F188" s="25">
        <f>29001.8+8758.5+5+114.5+34.6</f>
        <v>37914.400000000001</v>
      </c>
      <c r="G188" s="25">
        <f>29001.8+8758.5+5+114.5+34.6</f>
        <v>37914.400000000001</v>
      </c>
      <c r="H188" s="25">
        <f>29001.8+8758.5+5+114.5+34.6</f>
        <v>37914.400000000001</v>
      </c>
    </row>
    <row r="189" spans="1:8" ht="25.5" x14ac:dyDescent="0.2">
      <c r="A189" s="27" t="s">
        <v>20</v>
      </c>
      <c r="B189" s="23" t="s">
        <v>33</v>
      </c>
      <c r="C189" s="23" t="s">
        <v>28</v>
      </c>
      <c r="D189" s="23" t="s">
        <v>113</v>
      </c>
      <c r="E189" s="24" t="s">
        <v>12</v>
      </c>
      <c r="F189" s="25">
        <f>28+351.8+2783.6+779.5+95.3+26.1+11+722.2+4314.7+20+960.5+142+350.6+30+36.1</f>
        <v>10651.400000000001</v>
      </c>
      <c r="G189" s="25">
        <f>28+351.8+2783.6+779.5+95.3+26.1+11+722.2+4314.7+20+960.5+142+350.6+30+36.1</f>
        <v>10651.400000000001</v>
      </c>
      <c r="H189" s="25">
        <f>28+351.8+2783.6+779.5+95.3+26.1+11+722.2+4314.7+20+960.5+142+350.6+30+36.1</f>
        <v>10651.400000000001</v>
      </c>
    </row>
    <row r="190" spans="1:8" x14ac:dyDescent="0.2">
      <c r="A190" s="27" t="s">
        <v>16</v>
      </c>
      <c r="B190" s="23" t="s">
        <v>33</v>
      </c>
      <c r="C190" s="23" t="s">
        <v>28</v>
      </c>
      <c r="D190" s="23" t="s">
        <v>113</v>
      </c>
      <c r="E190" s="23" t="s">
        <v>17</v>
      </c>
      <c r="F190" s="25">
        <f>5+800+5+5</f>
        <v>815</v>
      </c>
      <c r="G190" s="25">
        <f>5+800+5+5</f>
        <v>815</v>
      </c>
      <c r="H190" s="25">
        <f>5+800+5+5</f>
        <v>815</v>
      </c>
    </row>
    <row r="191" spans="1:8" ht="63.75" x14ac:dyDescent="0.2">
      <c r="A191" s="10" t="s">
        <v>334</v>
      </c>
      <c r="B191" s="8" t="s">
        <v>33</v>
      </c>
      <c r="C191" s="8" t="s">
        <v>28</v>
      </c>
      <c r="D191" s="8" t="s">
        <v>111</v>
      </c>
      <c r="E191" s="8"/>
      <c r="F191" s="9">
        <f>F192+F193+F194</f>
        <v>350381.30000000005</v>
      </c>
      <c r="G191" s="9">
        <f>G192+G193+G194</f>
        <v>350381.30000000005</v>
      </c>
      <c r="H191" s="9">
        <f>H192+H193+H194</f>
        <v>350381.30000000005</v>
      </c>
    </row>
    <row r="192" spans="1:8" ht="51" x14ac:dyDescent="0.2">
      <c r="A192" s="22" t="s">
        <v>9</v>
      </c>
      <c r="B192" s="23" t="s">
        <v>33</v>
      </c>
      <c r="C192" s="23" t="s">
        <v>28</v>
      </c>
      <c r="D192" s="23" t="s">
        <v>111</v>
      </c>
      <c r="E192" s="24" t="s">
        <v>10</v>
      </c>
      <c r="F192" s="25">
        <f>46870+14154.7+3692+1114.9</f>
        <v>65831.599999999991</v>
      </c>
      <c r="G192" s="25">
        <f>46870+14154.7+3692+1114.9</f>
        <v>65831.599999999991</v>
      </c>
      <c r="H192" s="25">
        <f>46870+14154.7+3692+1114.9</f>
        <v>65831.599999999991</v>
      </c>
    </row>
    <row r="193" spans="1:8" ht="25.5" x14ac:dyDescent="0.2">
      <c r="A193" s="27" t="s">
        <v>20</v>
      </c>
      <c r="B193" s="23" t="s">
        <v>33</v>
      </c>
      <c r="C193" s="23" t="s">
        <v>28</v>
      </c>
      <c r="D193" s="23" t="s">
        <v>111</v>
      </c>
      <c r="E193" s="24" t="s">
        <v>12</v>
      </c>
      <c r="F193" s="25">
        <f>1570.2+6.9+51.2+40.4+9+78.5</f>
        <v>1756.2000000000003</v>
      </c>
      <c r="G193" s="25">
        <f>1570.2+6.9+51.2+40.4+9+78.5</f>
        <v>1756.2000000000003</v>
      </c>
      <c r="H193" s="25">
        <f>1570.2+6.9+51.2+40.4+9+78.5</f>
        <v>1756.2000000000003</v>
      </c>
    </row>
    <row r="194" spans="1:8" ht="25.5" x14ac:dyDescent="0.2">
      <c r="A194" s="27" t="s">
        <v>215</v>
      </c>
      <c r="B194" s="23" t="s">
        <v>33</v>
      </c>
      <c r="C194" s="23" t="s">
        <v>28</v>
      </c>
      <c r="D194" s="23" t="s">
        <v>111</v>
      </c>
      <c r="E194" s="23" t="s">
        <v>8</v>
      </c>
      <c r="F194" s="25">
        <f>182265.5+55044.2+1832.9+360+227.2+20.8+135+2800.5+14983+4524.9+24.4+19.9+41.1+15+251.7+14357+4335.8+17.6+1180.2+356.4+0.4</f>
        <v>282793.50000000006</v>
      </c>
      <c r="G194" s="25">
        <f>182265.5+55044.2+1832.9+360+227.2+20.8+135+2800.5+14983+4524.9+24.4+19.9+41.1+15+251.7+14357+4335.8+17.6+1180.2+356.4+0.4</f>
        <v>282793.50000000006</v>
      </c>
      <c r="H194" s="25">
        <f>182265.5+55044.2+1832.9+360+227.2+20.8+135+2800.5+14983+4524.9+24.4+19.9+41.1+15+251.7+14357+4335.8+17.6+1180.2+356.4+0.4</f>
        <v>282793.50000000006</v>
      </c>
    </row>
    <row r="195" spans="1:8" ht="38.25" x14ac:dyDescent="0.2">
      <c r="A195" s="10" t="s">
        <v>241</v>
      </c>
      <c r="B195" s="8" t="s">
        <v>33</v>
      </c>
      <c r="C195" s="8" t="s">
        <v>28</v>
      </c>
      <c r="D195" s="8" t="s">
        <v>112</v>
      </c>
      <c r="E195" s="8"/>
      <c r="F195" s="9">
        <f>F196</f>
        <v>3738</v>
      </c>
      <c r="G195" s="9">
        <f t="shared" ref="G195:H195" si="28">G196</f>
        <v>3738</v>
      </c>
      <c r="H195" s="9">
        <f t="shared" si="28"/>
        <v>3738</v>
      </c>
    </row>
    <row r="196" spans="1:8" ht="25.5" x14ac:dyDescent="0.2">
      <c r="A196" s="27" t="s">
        <v>20</v>
      </c>
      <c r="B196" s="23" t="s">
        <v>33</v>
      </c>
      <c r="C196" s="23" t="s">
        <v>28</v>
      </c>
      <c r="D196" s="23" t="s">
        <v>112</v>
      </c>
      <c r="E196" s="24" t="s">
        <v>12</v>
      </c>
      <c r="F196" s="25">
        <v>3738</v>
      </c>
      <c r="G196" s="25">
        <v>3738</v>
      </c>
      <c r="H196" s="25">
        <v>3738</v>
      </c>
    </row>
    <row r="197" spans="1:8" ht="51" x14ac:dyDescent="0.2">
      <c r="A197" s="10" t="s">
        <v>349</v>
      </c>
      <c r="B197" s="8" t="s">
        <v>33</v>
      </c>
      <c r="C197" s="8" t="s">
        <v>28</v>
      </c>
      <c r="D197" s="8" t="s">
        <v>237</v>
      </c>
      <c r="E197" s="8"/>
      <c r="F197" s="9">
        <f>F198</f>
        <v>39251.1</v>
      </c>
      <c r="G197" s="9">
        <f>G198</f>
        <v>41495.4</v>
      </c>
      <c r="H197" s="9">
        <f>H198</f>
        <v>41495.4</v>
      </c>
    </row>
    <row r="198" spans="1:8" ht="25.5" x14ac:dyDescent="0.2">
      <c r="A198" s="27" t="s">
        <v>215</v>
      </c>
      <c r="B198" s="23" t="s">
        <v>33</v>
      </c>
      <c r="C198" s="23" t="s">
        <v>28</v>
      </c>
      <c r="D198" s="23" t="s">
        <v>237</v>
      </c>
      <c r="E198" s="23" t="s">
        <v>8</v>
      </c>
      <c r="F198" s="25">
        <v>39251.1</v>
      </c>
      <c r="G198" s="25">
        <v>41495.4</v>
      </c>
      <c r="H198" s="25">
        <v>41495.4</v>
      </c>
    </row>
    <row r="199" spans="1:8" ht="51" x14ac:dyDescent="0.2">
      <c r="A199" s="10" t="s">
        <v>244</v>
      </c>
      <c r="B199" s="8" t="s">
        <v>33</v>
      </c>
      <c r="C199" s="8" t="s">
        <v>28</v>
      </c>
      <c r="D199" s="8" t="s">
        <v>245</v>
      </c>
      <c r="E199" s="8"/>
      <c r="F199" s="9">
        <f>F200+F201+F202</f>
        <v>7181.9000000000005</v>
      </c>
      <c r="G199" s="9">
        <f>G200+G201+G202</f>
        <v>7181.9000000000005</v>
      </c>
      <c r="H199" s="9">
        <f>H200+H201+H202</f>
        <v>7181.9000000000005</v>
      </c>
    </row>
    <row r="200" spans="1:8" ht="51" x14ac:dyDescent="0.2">
      <c r="A200" s="22" t="s">
        <v>9</v>
      </c>
      <c r="B200" s="23" t="s">
        <v>33</v>
      </c>
      <c r="C200" s="23" t="s">
        <v>28</v>
      </c>
      <c r="D200" s="23" t="s">
        <v>245</v>
      </c>
      <c r="E200" s="24" t="s">
        <v>10</v>
      </c>
      <c r="F200" s="25">
        <v>4.5999999999999996</v>
      </c>
      <c r="G200" s="25">
        <v>4.5999999999999996</v>
      </c>
      <c r="H200" s="25">
        <v>4.5999999999999996</v>
      </c>
    </row>
    <row r="201" spans="1:8" ht="25.5" x14ac:dyDescent="0.2">
      <c r="A201" s="27" t="s">
        <v>20</v>
      </c>
      <c r="B201" s="23" t="s">
        <v>33</v>
      </c>
      <c r="C201" s="23" t="s">
        <v>28</v>
      </c>
      <c r="D201" s="23" t="s">
        <v>245</v>
      </c>
      <c r="E201" s="24" t="s">
        <v>12</v>
      </c>
      <c r="F201" s="25">
        <f>7177.3-474.5</f>
        <v>6702.8</v>
      </c>
      <c r="G201" s="25">
        <f>7177.3-474.5</f>
        <v>6702.8</v>
      </c>
      <c r="H201" s="25">
        <f>7177.3-474.5</f>
        <v>6702.8</v>
      </c>
    </row>
    <row r="202" spans="1:8" x14ac:dyDescent="0.2">
      <c r="A202" s="27" t="s">
        <v>16</v>
      </c>
      <c r="B202" s="23" t="s">
        <v>33</v>
      </c>
      <c r="C202" s="23" t="s">
        <v>28</v>
      </c>
      <c r="D202" s="23" t="s">
        <v>245</v>
      </c>
      <c r="E202" s="23" t="s">
        <v>17</v>
      </c>
      <c r="F202" s="25">
        <v>474.5</v>
      </c>
      <c r="G202" s="25">
        <v>474.5</v>
      </c>
      <c r="H202" s="25">
        <v>474.5</v>
      </c>
    </row>
    <row r="203" spans="1:8" ht="51" x14ac:dyDescent="0.2">
      <c r="A203" s="10" t="s">
        <v>244</v>
      </c>
      <c r="B203" s="8" t="s">
        <v>33</v>
      </c>
      <c r="C203" s="8" t="s">
        <v>28</v>
      </c>
      <c r="D203" s="8" t="s">
        <v>247</v>
      </c>
      <c r="E203" s="8"/>
      <c r="F203" s="9">
        <f>F204+F205</f>
        <v>834.4</v>
      </c>
      <c r="G203" s="9">
        <f>G204+G205</f>
        <v>834.4</v>
      </c>
      <c r="H203" s="9">
        <f>H204+H205</f>
        <v>834.4</v>
      </c>
    </row>
    <row r="204" spans="1:8" ht="25.5" x14ac:dyDescent="0.2">
      <c r="A204" s="27" t="s">
        <v>20</v>
      </c>
      <c r="B204" s="23" t="s">
        <v>33</v>
      </c>
      <c r="C204" s="23" t="s">
        <v>28</v>
      </c>
      <c r="D204" s="23" t="s">
        <v>247</v>
      </c>
      <c r="E204" s="24" t="s">
        <v>12</v>
      </c>
      <c r="F204" s="25">
        <f>564.4+200</f>
        <v>764.4</v>
      </c>
      <c r="G204" s="25">
        <f>564.4+200</f>
        <v>764.4</v>
      </c>
      <c r="H204" s="25">
        <f>564.4+200</f>
        <v>764.4</v>
      </c>
    </row>
    <row r="205" spans="1:8" x14ac:dyDescent="0.2">
      <c r="A205" s="27" t="s">
        <v>16</v>
      </c>
      <c r="B205" s="23" t="s">
        <v>33</v>
      </c>
      <c r="C205" s="23" t="s">
        <v>28</v>
      </c>
      <c r="D205" s="23" t="s">
        <v>247</v>
      </c>
      <c r="E205" s="23" t="s">
        <v>17</v>
      </c>
      <c r="F205" s="25">
        <f>70</f>
        <v>70</v>
      </c>
      <c r="G205" s="25">
        <f>70</f>
        <v>70</v>
      </c>
      <c r="H205" s="25">
        <f>70</f>
        <v>70</v>
      </c>
    </row>
    <row r="206" spans="1:8" ht="25.5" x14ac:dyDescent="0.2">
      <c r="A206" s="10" t="s">
        <v>242</v>
      </c>
      <c r="B206" s="8" t="s">
        <v>33</v>
      </c>
      <c r="C206" s="8" t="s">
        <v>28</v>
      </c>
      <c r="D206" s="8" t="s">
        <v>129</v>
      </c>
      <c r="E206" s="8"/>
      <c r="F206" s="9">
        <f>F208+F207</f>
        <v>249.70000000000005</v>
      </c>
      <c r="G206" s="9">
        <f t="shared" ref="G206:H206" si="29">G208+G207</f>
        <v>249.70000000000005</v>
      </c>
      <c r="H206" s="9">
        <f t="shared" si="29"/>
        <v>249.70000000000005</v>
      </c>
    </row>
    <row r="207" spans="1:8" s="26" customFormat="1" ht="25.5" x14ac:dyDescent="0.2">
      <c r="A207" s="27" t="s">
        <v>20</v>
      </c>
      <c r="B207" s="23" t="s">
        <v>33</v>
      </c>
      <c r="C207" s="23" t="s">
        <v>28</v>
      </c>
      <c r="D207" s="23" t="s">
        <v>129</v>
      </c>
      <c r="E207" s="24" t="s">
        <v>12</v>
      </c>
      <c r="F207" s="25">
        <f>29.5+28.2</f>
        <v>57.7</v>
      </c>
      <c r="G207" s="25">
        <f>29.5+28.2</f>
        <v>57.7</v>
      </c>
      <c r="H207" s="25">
        <f>29.5+28.2</f>
        <v>57.7</v>
      </c>
    </row>
    <row r="208" spans="1:8" ht="25.5" x14ac:dyDescent="0.2">
      <c r="A208" s="27" t="s">
        <v>215</v>
      </c>
      <c r="B208" s="23" t="s">
        <v>33</v>
      </c>
      <c r="C208" s="23" t="s">
        <v>28</v>
      </c>
      <c r="D208" s="23" t="s">
        <v>129</v>
      </c>
      <c r="E208" s="23" t="s">
        <v>8</v>
      </c>
      <c r="F208" s="25">
        <f>88.4+84.4+9.8+9.4</f>
        <v>192.00000000000003</v>
      </c>
      <c r="G208" s="25">
        <f t="shared" ref="G208:H208" si="30">88.4+84.4+9.8+9.4</f>
        <v>192.00000000000003</v>
      </c>
      <c r="H208" s="25">
        <f t="shared" si="30"/>
        <v>192.00000000000003</v>
      </c>
    </row>
    <row r="209" spans="1:8" ht="25.5" x14ac:dyDescent="0.2">
      <c r="A209" s="10" t="s">
        <v>249</v>
      </c>
      <c r="B209" s="8" t="s">
        <v>33</v>
      </c>
      <c r="C209" s="8" t="s">
        <v>28</v>
      </c>
      <c r="D209" s="8" t="s">
        <v>130</v>
      </c>
      <c r="E209" s="8"/>
      <c r="F209" s="9">
        <f>F211+F210</f>
        <v>1186</v>
      </c>
      <c r="G209" s="9">
        <f>G211+G210</f>
        <v>1186</v>
      </c>
      <c r="H209" s="9">
        <f>H211+H210</f>
        <v>1186</v>
      </c>
    </row>
    <row r="210" spans="1:8" s="4" customFormat="1" x14ac:dyDescent="0.2">
      <c r="A210" s="27" t="s">
        <v>13</v>
      </c>
      <c r="B210" s="23" t="s">
        <v>33</v>
      </c>
      <c r="C210" s="23" t="s">
        <v>28</v>
      </c>
      <c r="D210" s="8" t="s">
        <v>130</v>
      </c>
      <c r="E210" s="23" t="s">
        <v>14</v>
      </c>
      <c r="F210" s="25">
        <v>50</v>
      </c>
      <c r="G210" s="25">
        <v>50</v>
      </c>
      <c r="H210" s="25">
        <v>50</v>
      </c>
    </row>
    <row r="211" spans="1:8" ht="25.5" x14ac:dyDescent="0.2">
      <c r="A211" s="27" t="s">
        <v>215</v>
      </c>
      <c r="B211" s="23" t="s">
        <v>33</v>
      </c>
      <c r="C211" s="23" t="s">
        <v>28</v>
      </c>
      <c r="D211" s="8" t="s">
        <v>130</v>
      </c>
      <c r="E211" s="23" t="s">
        <v>8</v>
      </c>
      <c r="F211" s="25">
        <f>992.5+143.5</f>
        <v>1136</v>
      </c>
      <c r="G211" s="25">
        <f>992.5+143.5</f>
        <v>1136</v>
      </c>
      <c r="H211" s="25">
        <f>992.5+143.5</f>
        <v>1136</v>
      </c>
    </row>
    <row r="212" spans="1:8" x14ac:dyDescent="0.2">
      <c r="A212" s="10" t="s">
        <v>353</v>
      </c>
      <c r="B212" s="8" t="s">
        <v>33</v>
      </c>
      <c r="C212" s="8" t="s">
        <v>28</v>
      </c>
      <c r="D212" s="8" t="s">
        <v>250</v>
      </c>
      <c r="E212" s="8"/>
      <c r="F212" s="9">
        <f>F214+F213</f>
        <v>250</v>
      </c>
      <c r="G212" s="9">
        <f>G214+G213</f>
        <v>250</v>
      </c>
      <c r="H212" s="9">
        <f>H214+H213</f>
        <v>250</v>
      </c>
    </row>
    <row r="213" spans="1:8" x14ac:dyDescent="0.2">
      <c r="A213" s="27" t="s">
        <v>13</v>
      </c>
      <c r="B213" s="23" t="s">
        <v>33</v>
      </c>
      <c r="C213" s="23" t="s">
        <v>28</v>
      </c>
      <c r="D213" s="8" t="s">
        <v>250</v>
      </c>
      <c r="E213" s="23" t="s">
        <v>14</v>
      </c>
      <c r="F213" s="25">
        <v>2</v>
      </c>
      <c r="G213" s="25">
        <v>2</v>
      </c>
      <c r="H213" s="25">
        <v>2</v>
      </c>
    </row>
    <row r="214" spans="1:8" ht="25.5" x14ac:dyDescent="0.2">
      <c r="A214" s="27" t="s">
        <v>215</v>
      </c>
      <c r="B214" s="23" t="s">
        <v>33</v>
      </c>
      <c r="C214" s="23" t="s">
        <v>28</v>
      </c>
      <c r="D214" s="8" t="s">
        <v>250</v>
      </c>
      <c r="E214" s="23" t="s">
        <v>8</v>
      </c>
      <c r="F214" s="25">
        <v>248</v>
      </c>
      <c r="G214" s="25">
        <v>248</v>
      </c>
      <c r="H214" s="25">
        <v>248</v>
      </c>
    </row>
    <row r="215" spans="1:8" x14ac:dyDescent="0.2">
      <c r="A215" s="14" t="s">
        <v>329</v>
      </c>
      <c r="B215" s="11" t="s">
        <v>33</v>
      </c>
      <c r="C215" s="11" t="s">
        <v>30</v>
      </c>
      <c r="D215" s="11"/>
      <c r="E215" s="11"/>
      <c r="F215" s="12">
        <f>F218+F222+F225+F227+F220+F216</f>
        <v>165735.30000000002</v>
      </c>
      <c r="G215" s="12">
        <f>G218+G222+G225+G227+G220+G216</f>
        <v>165806.50000000003</v>
      </c>
      <c r="H215" s="12">
        <f>H218+H222+H225+H227+H220+H216</f>
        <v>165879.80000000002</v>
      </c>
    </row>
    <row r="216" spans="1:8" ht="25.5" x14ac:dyDescent="0.2">
      <c r="A216" s="10" t="s">
        <v>242</v>
      </c>
      <c r="B216" s="8" t="s">
        <v>33</v>
      </c>
      <c r="C216" s="8" t="s">
        <v>30</v>
      </c>
      <c r="D216" s="8" t="s">
        <v>129</v>
      </c>
      <c r="E216" s="8"/>
      <c r="F216" s="9">
        <f>F217</f>
        <v>115.3</v>
      </c>
      <c r="G216" s="9">
        <f t="shared" ref="G216:H216" si="31">G217</f>
        <v>115.3</v>
      </c>
      <c r="H216" s="9">
        <f t="shared" si="31"/>
        <v>115.3</v>
      </c>
    </row>
    <row r="217" spans="1:8" ht="25.5" x14ac:dyDescent="0.2">
      <c r="A217" s="27" t="s">
        <v>215</v>
      </c>
      <c r="B217" s="23" t="s">
        <v>33</v>
      </c>
      <c r="C217" s="23" t="s">
        <v>30</v>
      </c>
      <c r="D217" s="23" t="s">
        <v>129</v>
      </c>
      <c r="E217" s="23" t="s">
        <v>8</v>
      </c>
      <c r="F217" s="25">
        <f>59+56.3</f>
        <v>115.3</v>
      </c>
      <c r="G217" s="25">
        <f t="shared" ref="G217:H217" si="32">59+56.3</f>
        <v>115.3</v>
      </c>
      <c r="H217" s="25">
        <f t="shared" si="32"/>
        <v>115.3</v>
      </c>
    </row>
    <row r="218" spans="1:8" s="7" customFormat="1" ht="25.5" x14ac:dyDescent="0.2">
      <c r="A218" s="5" t="s">
        <v>178</v>
      </c>
      <c r="B218" s="8" t="s">
        <v>33</v>
      </c>
      <c r="C218" s="8" t="s">
        <v>30</v>
      </c>
      <c r="D218" s="8" t="s">
        <v>177</v>
      </c>
      <c r="E218" s="1"/>
      <c r="F218" s="2">
        <f>F219</f>
        <v>13</v>
      </c>
      <c r="G218" s="2">
        <f>G219</f>
        <v>13</v>
      </c>
      <c r="H218" s="2">
        <f>H219</f>
        <v>13</v>
      </c>
    </row>
    <row r="219" spans="1:8" s="26" customFormat="1" ht="25.5" x14ac:dyDescent="0.2">
      <c r="A219" s="27" t="s">
        <v>215</v>
      </c>
      <c r="B219" s="23" t="s">
        <v>33</v>
      </c>
      <c r="C219" s="23" t="s">
        <v>30</v>
      </c>
      <c r="D219" s="23" t="s">
        <v>177</v>
      </c>
      <c r="E219" s="23" t="s">
        <v>8</v>
      </c>
      <c r="F219" s="25">
        <v>13</v>
      </c>
      <c r="G219" s="25">
        <v>13</v>
      </c>
      <c r="H219" s="25">
        <v>13</v>
      </c>
    </row>
    <row r="220" spans="1:8" ht="25.5" x14ac:dyDescent="0.2">
      <c r="A220" s="10" t="s">
        <v>243</v>
      </c>
      <c r="B220" s="8" t="s">
        <v>33</v>
      </c>
      <c r="C220" s="8" t="s">
        <v>30</v>
      </c>
      <c r="D220" s="8" t="s">
        <v>127</v>
      </c>
      <c r="E220" s="8"/>
      <c r="F220" s="9">
        <f>F221</f>
        <v>58.4</v>
      </c>
      <c r="G220" s="9">
        <f>G221</f>
        <v>58.4</v>
      </c>
      <c r="H220" s="9">
        <f>H221</f>
        <v>58.4</v>
      </c>
    </row>
    <row r="221" spans="1:8" ht="25.5" x14ac:dyDescent="0.2">
      <c r="A221" s="27" t="s">
        <v>215</v>
      </c>
      <c r="B221" s="23" t="s">
        <v>33</v>
      </c>
      <c r="C221" s="23" t="s">
        <v>30</v>
      </c>
      <c r="D221" s="23" t="s">
        <v>127</v>
      </c>
      <c r="E221" s="23" t="s">
        <v>8</v>
      </c>
      <c r="F221" s="25">
        <f>58.4</f>
        <v>58.4</v>
      </c>
      <c r="G221" s="25">
        <v>58.4</v>
      </c>
      <c r="H221" s="25">
        <v>58.4</v>
      </c>
    </row>
    <row r="222" spans="1:8" ht="52.5" customHeight="1" x14ac:dyDescent="0.2">
      <c r="A222" s="10" t="s">
        <v>349</v>
      </c>
      <c r="B222" s="8" t="s">
        <v>33</v>
      </c>
      <c r="C222" s="8" t="s">
        <v>30</v>
      </c>
      <c r="D222" s="8" t="s">
        <v>238</v>
      </c>
      <c r="E222" s="8"/>
      <c r="F222" s="9">
        <f>F224+F223</f>
        <v>148331.90000000002</v>
      </c>
      <c r="G222" s="9">
        <f>G224+G223</f>
        <v>148403.10000000003</v>
      </c>
      <c r="H222" s="9">
        <f>H224+H223</f>
        <v>148476.40000000002</v>
      </c>
    </row>
    <row r="223" spans="1:8" s="26" customFormat="1" x14ac:dyDescent="0.2">
      <c r="A223" s="27" t="s">
        <v>13</v>
      </c>
      <c r="B223" s="23" t="s">
        <v>33</v>
      </c>
      <c r="C223" s="23" t="s">
        <v>30</v>
      </c>
      <c r="D223" s="23" t="s">
        <v>238</v>
      </c>
      <c r="E223" s="24" t="s">
        <v>14</v>
      </c>
      <c r="F223" s="25">
        <v>30</v>
      </c>
      <c r="G223" s="25">
        <v>30</v>
      </c>
      <c r="H223" s="25">
        <v>30</v>
      </c>
    </row>
    <row r="224" spans="1:8" ht="25.5" x14ac:dyDescent="0.2">
      <c r="A224" s="27" t="s">
        <v>215</v>
      </c>
      <c r="B224" s="23" t="s">
        <v>33</v>
      </c>
      <c r="C224" s="23" t="s">
        <v>30</v>
      </c>
      <c r="D224" s="23" t="s">
        <v>238</v>
      </c>
      <c r="E224" s="23" t="s">
        <v>8</v>
      </c>
      <c r="F224" s="25">
        <f>118343.6+24006+387.1+3597.5+1967.7</f>
        <v>148301.90000000002</v>
      </c>
      <c r="G224" s="25">
        <f>118343.6+24006+387.1+3668.7+1967.7</f>
        <v>148373.10000000003</v>
      </c>
      <c r="H224" s="25">
        <f>118343.6+24006+387.1+3742+1967.7</f>
        <v>148446.40000000002</v>
      </c>
    </row>
    <row r="225" spans="1:8" ht="25.5" x14ac:dyDescent="0.2">
      <c r="A225" s="10" t="s">
        <v>350</v>
      </c>
      <c r="B225" s="8" t="s">
        <v>33</v>
      </c>
      <c r="C225" s="8" t="s">
        <v>30</v>
      </c>
      <c r="D225" s="8" t="s">
        <v>246</v>
      </c>
      <c r="E225" s="8"/>
      <c r="F225" s="9">
        <f>F226</f>
        <v>67</v>
      </c>
      <c r="G225" s="9">
        <f>G226</f>
        <v>67</v>
      </c>
      <c r="H225" s="9">
        <f>H226</f>
        <v>67</v>
      </c>
    </row>
    <row r="226" spans="1:8" ht="25.5" x14ac:dyDescent="0.2">
      <c r="A226" s="27" t="s">
        <v>215</v>
      </c>
      <c r="B226" s="23" t="s">
        <v>33</v>
      </c>
      <c r="C226" s="23" t="s">
        <v>30</v>
      </c>
      <c r="D226" s="23" t="s">
        <v>246</v>
      </c>
      <c r="E226" s="23" t="s">
        <v>8</v>
      </c>
      <c r="F226" s="25">
        <v>67</v>
      </c>
      <c r="G226" s="25">
        <v>67</v>
      </c>
      <c r="H226" s="25">
        <v>67</v>
      </c>
    </row>
    <row r="227" spans="1:8" ht="25.5" x14ac:dyDescent="0.2">
      <c r="A227" s="10" t="s">
        <v>351</v>
      </c>
      <c r="B227" s="8" t="s">
        <v>33</v>
      </c>
      <c r="C227" s="8" t="s">
        <v>30</v>
      </c>
      <c r="D227" s="8" t="s">
        <v>248</v>
      </c>
      <c r="E227" s="8"/>
      <c r="F227" s="9">
        <f>F228</f>
        <v>17149.699999999997</v>
      </c>
      <c r="G227" s="9">
        <f>G228</f>
        <v>17149.699999999997</v>
      </c>
      <c r="H227" s="9">
        <f>H228</f>
        <v>17149.699999999997</v>
      </c>
    </row>
    <row r="228" spans="1:8" ht="25.5" x14ac:dyDescent="0.2">
      <c r="A228" s="27" t="s">
        <v>215</v>
      </c>
      <c r="B228" s="23" t="s">
        <v>33</v>
      </c>
      <c r="C228" s="23" t="s">
        <v>30</v>
      </c>
      <c r="D228" s="23" t="s">
        <v>248</v>
      </c>
      <c r="E228" s="23" t="s">
        <v>8</v>
      </c>
      <c r="F228" s="25">
        <f>11274.5+3405.6+427.3+55.9+11.9+5+1969.5</f>
        <v>17149.699999999997</v>
      </c>
      <c r="G228" s="25">
        <f>11274.5+3405.6+427.3+55.9+11.9+5+1969.5</f>
        <v>17149.699999999997</v>
      </c>
      <c r="H228" s="25">
        <f>11274.5+3405.6+427.3+55.9+11.9+5+1969.5</f>
        <v>17149.699999999997</v>
      </c>
    </row>
    <row r="229" spans="1:8" x14ac:dyDescent="0.2">
      <c r="A229" s="14" t="s">
        <v>52</v>
      </c>
      <c r="B229" s="11" t="s">
        <v>33</v>
      </c>
      <c r="C229" s="11" t="s">
        <v>33</v>
      </c>
      <c r="D229" s="11"/>
      <c r="E229" s="11"/>
      <c r="F229" s="12">
        <f>F232+F230</f>
        <v>341.7</v>
      </c>
      <c r="G229" s="12">
        <f t="shared" ref="G229:H229" si="33">G232+G230</f>
        <v>341.7</v>
      </c>
      <c r="H229" s="12">
        <f t="shared" si="33"/>
        <v>341.7</v>
      </c>
    </row>
    <row r="230" spans="1:8" x14ac:dyDescent="0.2">
      <c r="A230" s="10" t="s">
        <v>251</v>
      </c>
      <c r="B230" s="8" t="s">
        <v>33</v>
      </c>
      <c r="C230" s="8" t="s">
        <v>33</v>
      </c>
      <c r="D230" s="8" t="s">
        <v>131</v>
      </c>
      <c r="E230" s="8"/>
      <c r="F230" s="9">
        <f t="shared" ref="F230:H230" si="34">F231</f>
        <v>193</v>
      </c>
      <c r="G230" s="9">
        <f t="shared" si="34"/>
        <v>193</v>
      </c>
      <c r="H230" s="9">
        <f t="shared" si="34"/>
        <v>193</v>
      </c>
    </row>
    <row r="231" spans="1:8" ht="51" x14ac:dyDescent="0.2">
      <c r="A231" s="46" t="s">
        <v>9</v>
      </c>
      <c r="B231" s="23" t="s">
        <v>33</v>
      </c>
      <c r="C231" s="23" t="s">
        <v>33</v>
      </c>
      <c r="D231" s="23" t="s">
        <v>131</v>
      </c>
      <c r="E231" s="24" t="s">
        <v>10</v>
      </c>
      <c r="F231" s="25">
        <f>195.4-2.4</f>
        <v>193</v>
      </c>
      <c r="G231" s="25">
        <v>193</v>
      </c>
      <c r="H231" s="25">
        <v>193</v>
      </c>
    </row>
    <row r="232" spans="1:8" ht="25.5" x14ac:dyDescent="0.2">
      <c r="A232" s="10" t="s">
        <v>253</v>
      </c>
      <c r="B232" s="8" t="s">
        <v>33</v>
      </c>
      <c r="C232" s="8" t="s">
        <v>33</v>
      </c>
      <c r="D232" s="8" t="s">
        <v>252</v>
      </c>
      <c r="E232" s="8"/>
      <c r="F232" s="9">
        <f>F233+F234</f>
        <v>148.69999999999999</v>
      </c>
      <c r="G232" s="9">
        <f t="shared" ref="G232:H232" si="35">G233+G234</f>
        <v>148.69999999999999</v>
      </c>
      <c r="H232" s="9">
        <f t="shared" si="35"/>
        <v>148.69999999999999</v>
      </c>
    </row>
    <row r="233" spans="1:8" ht="25.5" x14ac:dyDescent="0.2">
      <c r="A233" s="27" t="s">
        <v>20</v>
      </c>
      <c r="B233" s="23" t="s">
        <v>33</v>
      </c>
      <c r="C233" s="23" t="s">
        <v>33</v>
      </c>
      <c r="D233" s="23" t="s">
        <v>252</v>
      </c>
      <c r="E233" s="24" t="s">
        <v>12</v>
      </c>
      <c r="F233" s="25">
        <f>20+45+24+23</f>
        <v>112</v>
      </c>
      <c r="G233" s="25">
        <f>20+45+24+23</f>
        <v>112</v>
      </c>
      <c r="H233" s="25">
        <f>20+45+24+23</f>
        <v>112</v>
      </c>
    </row>
    <row r="234" spans="1:8" x14ac:dyDescent="0.2">
      <c r="A234" s="27" t="s">
        <v>13</v>
      </c>
      <c r="B234" s="23" t="s">
        <v>33</v>
      </c>
      <c r="C234" s="23" t="s">
        <v>33</v>
      </c>
      <c r="D234" s="23" t="s">
        <v>252</v>
      </c>
      <c r="E234" s="24" t="s">
        <v>14</v>
      </c>
      <c r="F234" s="25">
        <v>36.700000000000003</v>
      </c>
      <c r="G234" s="25">
        <v>36.700000000000003</v>
      </c>
      <c r="H234" s="25">
        <v>36.700000000000003</v>
      </c>
    </row>
    <row r="235" spans="1:8" x14ac:dyDescent="0.2">
      <c r="A235" s="14" t="s">
        <v>53</v>
      </c>
      <c r="B235" s="11" t="s">
        <v>33</v>
      </c>
      <c r="C235" s="11" t="s">
        <v>39</v>
      </c>
      <c r="D235" s="11"/>
      <c r="E235" s="11"/>
      <c r="F235" s="12">
        <f>F241+F244+F246+F249+F253+F255+F258+F260+F263+F265+F236+F238</f>
        <v>76129.900000000009</v>
      </c>
      <c r="G235" s="12">
        <f t="shared" ref="G235:H235" si="36">G241+G244+G246+G249+G253+G255+G258+G260+G263+G265+G236+G238</f>
        <v>72494.3</v>
      </c>
      <c r="H235" s="12">
        <f t="shared" si="36"/>
        <v>72494.3</v>
      </c>
    </row>
    <row r="236" spans="1:8" x14ac:dyDescent="0.2">
      <c r="A236" s="10" t="s">
        <v>205</v>
      </c>
      <c r="B236" s="8" t="s">
        <v>33</v>
      </c>
      <c r="C236" s="8" t="s">
        <v>39</v>
      </c>
      <c r="D236" s="23" t="s">
        <v>204</v>
      </c>
      <c r="E236" s="8"/>
      <c r="F236" s="9">
        <f>F237</f>
        <v>2457.8000000000002</v>
      </c>
      <c r="G236" s="9">
        <f>G237</f>
        <v>0</v>
      </c>
      <c r="H236" s="9">
        <f>H237</f>
        <v>0</v>
      </c>
    </row>
    <row r="237" spans="1:8" ht="25.5" x14ac:dyDescent="0.2">
      <c r="A237" s="27" t="s">
        <v>74</v>
      </c>
      <c r="B237" s="8" t="s">
        <v>33</v>
      </c>
      <c r="C237" s="8" t="s">
        <v>39</v>
      </c>
      <c r="D237" s="23" t="s">
        <v>204</v>
      </c>
      <c r="E237" s="23" t="s">
        <v>15</v>
      </c>
      <c r="F237" s="25">
        <v>2457.8000000000002</v>
      </c>
      <c r="G237" s="25"/>
      <c r="H237" s="25"/>
    </row>
    <row r="238" spans="1:8" ht="25.5" x14ac:dyDescent="0.2">
      <c r="A238" s="10" t="s">
        <v>243</v>
      </c>
      <c r="B238" s="8" t="s">
        <v>33</v>
      </c>
      <c r="C238" s="8" t="s">
        <v>39</v>
      </c>
      <c r="D238" s="8" t="s">
        <v>127</v>
      </c>
      <c r="E238" s="8"/>
      <c r="F238" s="9">
        <f>F240+F239</f>
        <v>3814.6</v>
      </c>
      <c r="G238" s="9">
        <f t="shared" ref="G238:H238" si="37">G240+G239</f>
        <v>3814.6</v>
      </c>
      <c r="H238" s="9">
        <f t="shared" si="37"/>
        <v>3814.6</v>
      </c>
    </row>
    <row r="239" spans="1:8" ht="25.5" x14ac:dyDescent="0.2">
      <c r="A239" s="27" t="s">
        <v>20</v>
      </c>
      <c r="B239" s="23" t="s">
        <v>33</v>
      </c>
      <c r="C239" s="23" t="s">
        <v>39</v>
      </c>
      <c r="D239" s="23" t="s">
        <v>127</v>
      </c>
      <c r="E239" s="23" t="s">
        <v>12</v>
      </c>
      <c r="F239" s="25">
        <v>87</v>
      </c>
      <c r="G239" s="25">
        <v>87</v>
      </c>
      <c r="H239" s="25">
        <v>87</v>
      </c>
    </row>
    <row r="240" spans="1:8" ht="25.5" x14ac:dyDescent="0.2">
      <c r="A240" s="27" t="s">
        <v>215</v>
      </c>
      <c r="B240" s="23" t="s">
        <v>33</v>
      </c>
      <c r="C240" s="23" t="s">
        <v>39</v>
      </c>
      <c r="D240" s="23" t="s">
        <v>127</v>
      </c>
      <c r="E240" s="23" t="s">
        <v>8</v>
      </c>
      <c r="F240" s="25">
        <f>3412.6+315</f>
        <v>3727.6</v>
      </c>
      <c r="G240" s="25">
        <f>3412.6+315</f>
        <v>3727.6</v>
      </c>
      <c r="H240" s="25">
        <f>3412.6+315</f>
        <v>3727.6</v>
      </c>
    </row>
    <row r="241" spans="1:8" ht="25.5" x14ac:dyDescent="0.2">
      <c r="A241" s="10" t="s">
        <v>254</v>
      </c>
      <c r="B241" s="1" t="s">
        <v>33</v>
      </c>
      <c r="C241" s="1" t="s">
        <v>39</v>
      </c>
      <c r="D241" s="1" t="s">
        <v>114</v>
      </c>
      <c r="E241" s="8"/>
      <c r="F241" s="9">
        <f>F242+F243</f>
        <v>2354.3000000000002</v>
      </c>
      <c r="G241" s="9">
        <f>G242+G243</f>
        <v>2354.3000000000002</v>
      </c>
      <c r="H241" s="9">
        <f>H242+H243</f>
        <v>2354.3000000000002</v>
      </c>
    </row>
    <row r="242" spans="1:8" ht="51" x14ac:dyDescent="0.2">
      <c r="A242" s="46" t="s">
        <v>9</v>
      </c>
      <c r="B242" s="23" t="s">
        <v>33</v>
      </c>
      <c r="C242" s="23" t="s">
        <v>39</v>
      </c>
      <c r="D242" s="23" t="s">
        <v>114</v>
      </c>
      <c r="E242" s="24" t="s">
        <v>10</v>
      </c>
      <c r="F242" s="25">
        <f>1464.5+442.3+2+19</f>
        <v>1927.8</v>
      </c>
      <c r="G242" s="25">
        <f>1464.5+442.3+2+19</f>
        <v>1927.8</v>
      </c>
      <c r="H242" s="25">
        <f>1464.5+442.3+2+19</f>
        <v>1927.8</v>
      </c>
    </row>
    <row r="243" spans="1:8" ht="25.5" x14ac:dyDescent="0.2">
      <c r="A243" s="27" t="s">
        <v>20</v>
      </c>
      <c r="B243" s="23" t="s">
        <v>33</v>
      </c>
      <c r="C243" s="23" t="s">
        <v>39</v>
      </c>
      <c r="D243" s="23" t="s">
        <v>114</v>
      </c>
      <c r="E243" s="24" t="s">
        <v>12</v>
      </c>
      <c r="F243" s="25">
        <f>10+150+100+166.5</f>
        <v>426.5</v>
      </c>
      <c r="G243" s="25">
        <f>10+150+100+166.5</f>
        <v>426.5</v>
      </c>
      <c r="H243" s="25">
        <f>10+150+100+166.5</f>
        <v>426.5</v>
      </c>
    </row>
    <row r="244" spans="1:8" ht="51" x14ac:dyDescent="0.2">
      <c r="A244" s="10" t="s">
        <v>244</v>
      </c>
      <c r="B244" s="8" t="s">
        <v>33</v>
      </c>
      <c r="C244" s="8" t="s">
        <v>39</v>
      </c>
      <c r="D244" s="8" t="s">
        <v>255</v>
      </c>
      <c r="E244" s="8"/>
      <c r="F244" s="9">
        <f>F245</f>
        <v>4150.8999999999996</v>
      </c>
      <c r="G244" s="9">
        <f>G245</f>
        <v>4150.8999999999996</v>
      </c>
      <c r="H244" s="9">
        <f>H245</f>
        <v>4150.8999999999996</v>
      </c>
    </row>
    <row r="245" spans="1:8" ht="25.5" x14ac:dyDescent="0.2">
      <c r="A245" s="27" t="s">
        <v>215</v>
      </c>
      <c r="B245" s="23" t="s">
        <v>33</v>
      </c>
      <c r="C245" s="23" t="s">
        <v>39</v>
      </c>
      <c r="D245" s="23" t="s">
        <v>255</v>
      </c>
      <c r="E245" s="23" t="s">
        <v>8</v>
      </c>
      <c r="F245" s="25">
        <v>4150.8999999999996</v>
      </c>
      <c r="G245" s="25">
        <v>4150.8999999999996</v>
      </c>
      <c r="H245" s="25">
        <v>4150.8999999999996</v>
      </c>
    </row>
    <row r="246" spans="1:8" ht="25.5" x14ac:dyDescent="0.2">
      <c r="A246" s="10" t="s">
        <v>350</v>
      </c>
      <c r="B246" s="8" t="s">
        <v>33</v>
      </c>
      <c r="C246" s="8" t="s">
        <v>39</v>
      </c>
      <c r="D246" s="8" t="s">
        <v>256</v>
      </c>
      <c r="E246" s="8"/>
      <c r="F246" s="9">
        <f>F247+F248</f>
        <v>171.1</v>
      </c>
      <c r="G246" s="9">
        <f>G247+G248</f>
        <v>171.1</v>
      </c>
      <c r="H246" s="9">
        <f>H247+H248</f>
        <v>171.1</v>
      </c>
    </row>
    <row r="247" spans="1:8" ht="25.5" x14ac:dyDescent="0.2">
      <c r="A247" s="27" t="s">
        <v>20</v>
      </c>
      <c r="B247" s="23" t="s">
        <v>33</v>
      </c>
      <c r="C247" s="23" t="s">
        <v>39</v>
      </c>
      <c r="D247" s="23" t="s">
        <v>256</v>
      </c>
      <c r="E247" s="23" t="s">
        <v>12</v>
      </c>
      <c r="F247" s="25">
        <v>41</v>
      </c>
      <c r="G247" s="25">
        <v>41</v>
      </c>
      <c r="H247" s="25">
        <v>41</v>
      </c>
    </row>
    <row r="248" spans="1:8" s="26" customFormat="1" ht="25.5" x14ac:dyDescent="0.2">
      <c r="A248" s="27" t="s">
        <v>215</v>
      </c>
      <c r="B248" s="23" t="s">
        <v>33</v>
      </c>
      <c r="C248" s="23" t="s">
        <v>39</v>
      </c>
      <c r="D248" s="23" t="s">
        <v>256</v>
      </c>
      <c r="E248" s="23" t="s">
        <v>8</v>
      </c>
      <c r="F248" s="25">
        <v>130.1</v>
      </c>
      <c r="G248" s="25">
        <v>130.1</v>
      </c>
      <c r="H248" s="25">
        <v>130.1</v>
      </c>
    </row>
    <row r="249" spans="1:8" ht="25.5" x14ac:dyDescent="0.2">
      <c r="A249" s="10" t="s">
        <v>350</v>
      </c>
      <c r="B249" s="8" t="s">
        <v>33</v>
      </c>
      <c r="C249" s="8" t="s">
        <v>39</v>
      </c>
      <c r="D249" s="8" t="s">
        <v>246</v>
      </c>
      <c r="E249" s="8"/>
      <c r="F249" s="9">
        <f>F252+F251+F250</f>
        <v>1497.5</v>
      </c>
      <c r="G249" s="9">
        <f t="shared" ref="G249:H249" si="38">G252+G251+G250</f>
        <v>319.7</v>
      </c>
      <c r="H249" s="9">
        <f t="shared" si="38"/>
        <v>319.7</v>
      </c>
    </row>
    <row r="250" spans="1:8" ht="25.5" x14ac:dyDescent="0.2">
      <c r="A250" s="27" t="s">
        <v>20</v>
      </c>
      <c r="B250" s="23" t="s">
        <v>33</v>
      </c>
      <c r="C250" s="23" t="s">
        <v>39</v>
      </c>
      <c r="D250" s="23" t="s">
        <v>246</v>
      </c>
      <c r="E250" s="23" t="s">
        <v>12</v>
      </c>
      <c r="F250" s="25">
        <v>4</v>
      </c>
      <c r="G250" s="25">
        <v>4</v>
      </c>
      <c r="H250" s="25">
        <v>4</v>
      </c>
    </row>
    <row r="251" spans="1:8" x14ac:dyDescent="0.2">
      <c r="A251" s="27" t="s">
        <v>13</v>
      </c>
      <c r="B251" s="23" t="s">
        <v>33</v>
      </c>
      <c r="C251" s="23" t="s">
        <v>39</v>
      </c>
      <c r="D251" s="23" t="s">
        <v>246</v>
      </c>
      <c r="E251" s="23" t="s">
        <v>14</v>
      </c>
      <c r="F251" s="25">
        <v>1177.8</v>
      </c>
      <c r="G251" s="25">
        <v>0</v>
      </c>
      <c r="H251" s="25">
        <v>0</v>
      </c>
    </row>
    <row r="252" spans="1:8" ht="25.5" x14ac:dyDescent="0.2">
      <c r="A252" s="27" t="s">
        <v>215</v>
      </c>
      <c r="B252" s="23" t="s">
        <v>33</v>
      </c>
      <c r="C252" s="23" t="s">
        <v>39</v>
      </c>
      <c r="D252" s="23" t="s">
        <v>246</v>
      </c>
      <c r="E252" s="23" t="s">
        <v>8</v>
      </c>
      <c r="F252" s="25">
        <v>315.7</v>
      </c>
      <c r="G252" s="25">
        <v>315.7</v>
      </c>
      <c r="H252" s="25">
        <v>315.7</v>
      </c>
    </row>
    <row r="253" spans="1:8" ht="25.5" x14ac:dyDescent="0.2">
      <c r="A253" s="10" t="s">
        <v>351</v>
      </c>
      <c r="B253" s="8" t="s">
        <v>33</v>
      </c>
      <c r="C253" s="8" t="s">
        <v>39</v>
      </c>
      <c r="D253" s="8" t="s">
        <v>326</v>
      </c>
      <c r="E253" s="8"/>
      <c r="F253" s="9">
        <f>F254</f>
        <v>2701.1</v>
      </c>
      <c r="G253" s="9">
        <f>G254</f>
        <v>2701.1</v>
      </c>
      <c r="H253" s="9">
        <f>H254</f>
        <v>2701.1</v>
      </c>
    </row>
    <row r="254" spans="1:8" ht="25.5" x14ac:dyDescent="0.2">
      <c r="A254" s="27" t="s">
        <v>215</v>
      </c>
      <c r="B254" s="23" t="s">
        <v>33</v>
      </c>
      <c r="C254" s="23" t="s">
        <v>39</v>
      </c>
      <c r="D254" s="23" t="s">
        <v>326</v>
      </c>
      <c r="E254" s="24" t="s">
        <v>8</v>
      </c>
      <c r="F254" s="25">
        <f>2675.9+25.2</f>
        <v>2701.1</v>
      </c>
      <c r="G254" s="25">
        <f>2675.9+25.2</f>
        <v>2701.1</v>
      </c>
      <c r="H254" s="25">
        <f>2675.9+25.2</f>
        <v>2701.1</v>
      </c>
    </row>
    <row r="255" spans="1:8" ht="38.25" x14ac:dyDescent="0.2">
      <c r="A255" s="10" t="s">
        <v>352</v>
      </c>
      <c r="B255" s="8" t="s">
        <v>33</v>
      </c>
      <c r="C255" s="8" t="s">
        <v>39</v>
      </c>
      <c r="D255" s="8" t="s">
        <v>257</v>
      </c>
      <c r="E255" s="8"/>
      <c r="F255" s="9">
        <f>F256+F257</f>
        <v>491.4</v>
      </c>
      <c r="G255" s="9">
        <f>G256+G257</f>
        <v>491.4</v>
      </c>
      <c r="H255" s="9">
        <f>H256+H257</f>
        <v>491.4</v>
      </c>
    </row>
    <row r="256" spans="1:8" ht="51" x14ac:dyDescent="0.2">
      <c r="A256" s="22" t="s">
        <v>9</v>
      </c>
      <c r="B256" s="23" t="s">
        <v>33</v>
      </c>
      <c r="C256" s="23" t="s">
        <v>39</v>
      </c>
      <c r="D256" s="23" t="s">
        <v>257</v>
      </c>
      <c r="E256" s="24" t="s">
        <v>10</v>
      </c>
      <c r="F256" s="25">
        <v>36.9</v>
      </c>
      <c r="G256" s="25">
        <v>36.9</v>
      </c>
      <c r="H256" s="25">
        <v>36.9</v>
      </c>
    </row>
    <row r="257" spans="1:8" ht="25.5" x14ac:dyDescent="0.2">
      <c r="A257" s="27" t="s">
        <v>215</v>
      </c>
      <c r="B257" s="23" t="s">
        <v>33</v>
      </c>
      <c r="C257" s="23" t="s">
        <v>39</v>
      </c>
      <c r="D257" s="23" t="s">
        <v>257</v>
      </c>
      <c r="E257" s="23" t="s">
        <v>8</v>
      </c>
      <c r="F257" s="25">
        <v>454.5</v>
      </c>
      <c r="G257" s="25">
        <v>454.5</v>
      </c>
      <c r="H257" s="25">
        <v>454.5</v>
      </c>
    </row>
    <row r="258" spans="1:8" ht="25.5" x14ac:dyDescent="0.2">
      <c r="A258" s="10" t="s">
        <v>259</v>
      </c>
      <c r="B258" s="8" t="s">
        <v>33</v>
      </c>
      <c r="C258" s="8" t="s">
        <v>39</v>
      </c>
      <c r="D258" s="8" t="s">
        <v>258</v>
      </c>
      <c r="E258" s="8"/>
      <c r="F258" s="9">
        <f>F259</f>
        <v>430.5</v>
      </c>
      <c r="G258" s="9">
        <f t="shared" ref="G258:H258" si="39">G259</f>
        <v>430.5</v>
      </c>
      <c r="H258" s="9">
        <f t="shared" si="39"/>
        <v>430.5</v>
      </c>
    </row>
    <row r="259" spans="1:8" ht="25.5" x14ac:dyDescent="0.2">
      <c r="A259" s="27" t="s">
        <v>215</v>
      </c>
      <c r="B259" s="23" t="s">
        <v>33</v>
      </c>
      <c r="C259" s="23" t="s">
        <v>39</v>
      </c>
      <c r="D259" s="23" t="s">
        <v>258</v>
      </c>
      <c r="E259" s="23" t="s">
        <v>8</v>
      </c>
      <c r="F259" s="25">
        <v>430.5</v>
      </c>
      <c r="G259" s="25">
        <v>430.5</v>
      </c>
      <c r="H259" s="25">
        <v>430.5</v>
      </c>
    </row>
    <row r="260" spans="1:8" ht="25.5" x14ac:dyDescent="0.2">
      <c r="A260" s="10" t="s">
        <v>354</v>
      </c>
      <c r="B260" s="8" t="s">
        <v>33</v>
      </c>
      <c r="C260" s="8" t="s">
        <v>39</v>
      </c>
      <c r="D260" s="8" t="s">
        <v>260</v>
      </c>
      <c r="E260" s="8"/>
      <c r="F260" s="9">
        <f>F261+F262</f>
        <v>3563.4</v>
      </c>
      <c r="G260" s="9">
        <f>G261+G262</f>
        <v>3563.4</v>
      </c>
      <c r="H260" s="9">
        <f>H261+H262</f>
        <v>3563.4</v>
      </c>
    </row>
    <row r="261" spans="1:8" ht="51" x14ac:dyDescent="0.2">
      <c r="A261" s="22" t="s">
        <v>9</v>
      </c>
      <c r="B261" s="23" t="s">
        <v>33</v>
      </c>
      <c r="C261" s="23" t="s">
        <v>39</v>
      </c>
      <c r="D261" s="23" t="s">
        <v>260</v>
      </c>
      <c r="E261" s="24" t="s">
        <v>10</v>
      </c>
      <c r="F261" s="25">
        <f>3479.7+33.3</f>
        <v>3513</v>
      </c>
      <c r="G261" s="25">
        <f>3479.7+33.3</f>
        <v>3513</v>
      </c>
      <c r="H261" s="25">
        <f>3479.7+33.3</f>
        <v>3513</v>
      </c>
    </row>
    <row r="262" spans="1:8" ht="25.5" x14ac:dyDescent="0.2">
      <c r="A262" s="27" t="s">
        <v>20</v>
      </c>
      <c r="B262" s="23" t="s">
        <v>33</v>
      </c>
      <c r="C262" s="23" t="s">
        <v>39</v>
      </c>
      <c r="D262" s="23" t="s">
        <v>260</v>
      </c>
      <c r="E262" s="24" t="s">
        <v>12</v>
      </c>
      <c r="F262" s="25">
        <v>50.4</v>
      </c>
      <c r="G262" s="25">
        <v>50.4</v>
      </c>
      <c r="H262" s="25">
        <v>50.4</v>
      </c>
    </row>
    <row r="263" spans="1:8" ht="25.5" x14ac:dyDescent="0.2">
      <c r="A263" s="10" t="s">
        <v>354</v>
      </c>
      <c r="B263" s="8" t="s">
        <v>33</v>
      </c>
      <c r="C263" s="8" t="s">
        <v>39</v>
      </c>
      <c r="D263" s="8" t="s">
        <v>261</v>
      </c>
      <c r="E263" s="8"/>
      <c r="F263" s="9">
        <f>F264</f>
        <v>16913.600000000002</v>
      </c>
      <c r="G263" s="9">
        <f>G264</f>
        <v>16913.600000000002</v>
      </c>
      <c r="H263" s="9">
        <f>H264</f>
        <v>16913.600000000002</v>
      </c>
    </row>
    <row r="264" spans="1:8" ht="25.5" x14ac:dyDescent="0.2">
      <c r="A264" s="27" t="s">
        <v>215</v>
      </c>
      <c r="B264" s="23" t="s">
        <v>33</v>
      </c>
      <c r="C264" s="23" t="s">
        <v>39</v>
      </c>
      <c r="D264" s="23" t="s">
        <v>261</v>
      </c>
      <c r="E264" s="23" t="s">
        <v>8</v>
      </c>
      <c r="F264" s="25">
        <f>16766.2+147.4</f>
        <v>16913.600000000002</v>
      </c>
      <c r="G264" s="25">
        <f t="shared" ref="G264:H264" si="40">16766.2+147.4</f>
        <v>16913.600000000002</v>
      </c>
      <c r="H264" s="25">
        <f t="shared" si="40"/>
        <v>16913.600000000002</v>
      </c>
    </row>
    <row r="265" spans="1:8" ht="25.5" x14ac:dyDescent="0.2">
      <c r="A265" s="10" t="s">
        <v>354</v>
      </c>
      <c r="B265" s="8" t="s">
        <v>33</v>
      </c>
      <c r="C265" s="8" t="s">
        <v>39</v>
      </c>
      <c r="D265" s="8" t="s">
        <v>262</v>
      </c>
      <c r="E265" s="8"/>
      <c r="F265" s="9">
        <f>F266+F267+F268+F269</f>
        <v>37583.699999999997</v>
      </c>
      <c r="G265" s="9">
        <f>G266+G267+G268+G269</f>
        <v>37583.699999999997</v>
      </c>
      <c r="H265" s="9">
        <f>H266+H267+H268+H269</f>
        <v>37583.699999999997</v>
      </c>
    </row>
    <row r="266" spans="1:8" ht="51" x14ac:dyDescent="0.2">
      <c r="A266" s="22" t="s">
        <v>9</v>
      </c>
      <c r="B266" s="23" t="s">
        <v>33</v>
      </c>
      <c r="C266" s="23" t="s">
        <v>39</v>
      </c>
      <c r="D266" s="23" t="s">
        <v>262</v>
      </c>
      <c r="E266" s="24" t="s">
        <v>10</v>
      </c>
      <c r="F266" s="25">
        <f>10646+102.3</f>
        <v>10748.3</v>
      </c>
      <c r="G266" s="25">
        <f>10646+102.3</f>
        <v>10748.3</v>
      </c>
      <c r="H266" s="25">
        <f>10646+102.3</f>
        <v>10748.3</v>
      </c>
    </row>
    <row r="267" spans="1:8" ht="25.5" x14ac:dyDescent="0.2">
      <c r="A267" s="27" t="s">
        <v>20</v>
      </c>
      <c r="B267" s="23" t="s">
        <v>33</v>
      </c>
      <c r="C267" s="23" t="s">
        <v>39</v>
      </c>
      <c r="D267" s="23" t="s">
        <v>262</v>
      </c>
      <c r="E267" s="24" t="s">
        <v>12</v>
      </c>
      <c r="F267" s="25">
        <v>287</v>
      </c>
      <c r="G267" s="25">
        <v>287</v>
      </c>
      <c r="H267" s="25">
        <v>287</v>
      </c>
    </row>
    <row r="268" spans="1:8" ht="25.5" x14ac:dyDescent="0.2">
      <c r="A268" s="27" t="s">
        <v>215</v>
      </c>
      <c r="B268" s="23" t="s">
        <v>33</v>
      </c>
      <c r="C268" s="23" t="s">
        <v>39</v>
      </c>
      <c r="D268" s="23" t="s">
        <v>262</v>
      </c>
      <c r="E268" s="23" t="s">
        <v>8</v>
      </c>
      <c r="F268" s="25">
        <f>26235.2+213.2</f>
        <v>26448.400000000001</v>
      </c>
      <c r="G268" s="25">
        <f>26235.2+213.2</f>
        <v>26448.400000000001</v>
      </c>
      <c r="H268" s="25">
        <f>26235.2+213.2</f>
        <v>26448.400000000001</v>
      </c>
    </row>
    <row r="269" spans="1:8" x14ac:dyDescent="0.2">
      <c r="A269" s="27" t="s">
        <v>16</v>
      </c>
      <c r="B269" s="23" t="s">
        <v>33</v>
      </c>
      <c r="C269" s="23" t="s">
        <v>39</v>
      </c>
      <c r="D269" s="23" t="s">
        <v>262</v>
      </c>
      <c r="E269" s="23" t="s">
        <v>17</v>
      </c>
      <c r="F269" s="25">
        <v>100</v>
      </c>
      <c r="G269" s="25">
        <v>100</v>
      </c>
      <c r="H269" s="25">
        <v>100</v>
      </c>
    </row>
    <row r="270" spans="1:8" ht="15.75" x14ac:dyDescent="0.25">
      <c r="A270" s="35" t="s">
        <v>63</v>
      </c>
      <c r="B270" s="33" t="s">
        <v>54</v>
      </c>
      <c r="C270" s="33" t="s">
        <v>26</v>
      </c>
      <c r="D270" s="33"/>
      <c r="E270" s="33"/>
      <c r="F270" s="34">
        <f>F271+F284</f>
        <v>91362.7</v>
      </c>
      <c r="G270" s="34">
        <f t="shared" ref="G270:H270" si="41">G271+G284</f>
        <v>78862.7</v>
      </c>
      <c r="H270" s="34">
        <f t="shared" si="41"/>
        <v>78862.7</v>
      </c>
    </row>
    <row r="271" spans="1:8" x14ac:dyDescent="0.2">
      <c r="A271" s="14" t="s">
        <v>55</v>
      </c>
      <c r="B271" s="11" t="s">
        <v>54</v>
      </c>
      <c r="C271" s="11" t="s">
        <v>25</v>
      </c>
      <c r="D271" s="11"/>
      <c r="E271" s="11"/>
      <c r="F271" s="12">
        <f>F276+F279+F281+F272+F274</f>
        <v>87408.5</v>
      </c>
      <c r="G271" s="12">
        <f>G276+G279+G281+G272+G274</f>
        <v>74908.5</v>
      </c>
      <c r="H271" s="12">
        <f>H276+H279+H281+H272+H274</f>
        <v>74908.5</v>
      </c>
    </row>
    <row r="272" spans="1:8" x14ac:dyDescent="0.2">
      <c r="A272" s="10" t="s">
        <v>205</v>
      </c>
      <c r="B272" s="8" t="s">
        <v>54</v>
      </c>
      <c r="C272" s="8" t="s">
        <v>25</v>
      </c>
      <c r="D272" s="23" t="s">
        <v>204</v>
      </c>
      <c r="E272" s="8"/>
      <c r="F272" s="9">
        <f>F273</f>
        <v>12500</v>
      </c>
      <c r="G272" s="9">
        <f>G273</f>
        <v>0</v>
      </c>
      <c r="H272" s="9">
        <f>H273</f>
        <v>0</v>
      </c>
    </row>
    <row r="273" spans="1:8" s="26" customFormat="1" ht="25.5" x14ac:dyDescent="0.2">
      <c r="A273" s="27" t="s">
        <v>74</v>
      </c>
      <c r="B273" s="23" t="s">
        <v>54</v>
      </c>
      <c r="C273" s="23" t="s">
        <v>25</v>
      </c>
      <c r="D273" s="23" t="s">
        <v>204</v>
      </c>
      <c r="E273" s="23" t="s">
        <v>15</v>
      </c>
      <c r="F273" s="25">
        <v>12500</v>
      </c>
      <c r="G273" s="25">
        <v>0</v>
      </c>
      <c r="H273" s="25">
        <v>0</v>
      </c>
    </row>
    <row r="274" spans="1:8" ht="38.25" x14ac:dyDescent="0.2">
      <c r="A274" s="10" t="s">
        <v>263</v>
      </c>
      <c r="B274" s="8" t="s">
        <v>54</v>
      </c>
      <c r="C274" s="8" t="s">
        <v>25</v>
      </c>
      <c r="D274" s="8" t="s">
        <v>128</v>
      </c>
      <c r="E274" s="8"/>
      <c r="F274" s="9">
        <f>F275</f>
        <v>4564</v>
      </c>
      <c r="G274" s="9">
        <f>G275</f>
        <v>4564</v>
      </c>
      <c r="H274" s="9">
        <f>H275</f>
        <v>4564</v>
      </c>
    </row>
    <row r="275" spans="1:8" ht="25.5" x14ac:dyDescent="0.2">
      <c r="A275" s="27" t="s">
        <v>215</v>
      </c>
      <c r="B275" s="23" t="s">
        <v>54</v>
      </c>
      <c r="C275" s="23" t="s">
        <v>25</v>
      </c>
      <c r="D275" s="23" t="s">
        <v>128</v>
      </c>
      <c r="E275" s="23" t="s">
        <v>8</v>
      </c>
      <c r="F275" s="25">
        <v>4564</v>
      </c>
      <c r="G275" s="25">
        <v>4564</v>
      </c>
      <c r="H275" s="25">
        <v>4564</v>
      </c>
    </row>
    <row r="276" spans="1:8" x14ac:dyDescent="0.2">
      <c r="A276" s="10" t="s">
        <v>265</v>
      </c>
      <c r="B276" s="8" t="s">
        <v>54</v>
      </c>
      <c r="C276" s="8" t="s">
        <v>25</v>
      </c>
      <c r="D276" s="8" t="s">
        <v>264</v>
      </c>
      <c r="E276" s="8"/>
      <c r="F276" s="9">
        <f>F278+F277</f>
        <v>50430</v>
      </c>
      <c r="G276" s="9">
        <f>G278+G277</f>
        <v>50430</v>
      </c>
      <c r="H276" s="9">
        <f>H278+H277</f>
        <v>50430</v>
      </c>
    </row>
    <row r="277" spans="1:8" x14ac:dyDescent="0.2">
      <c r="A277" s="27" t="s">
        <v>13</v>
      </c>
      <c r="B277" s="23" t="s">
        <v>54</v>
      </c>
      <c r="C277" s="23" t="s">
        <v>25</v>
      </c>
      <c r="D277" s="23" t="s">
        <v>264</v>
      </c>
      <c r="E277" s="24" t="s">
        <v>14</v>
      </c>
      <c r="F277" s="25">
        <v>15</v>
      </c>
      <c r="G277" s="25">
        <v>15</v>
      </c>
      <c r="H277" s="25">
        <v>15</v>
      </c>
    </row>
    <row r="278" spans="1:8" ht="25.5" x14ac:dyDescent="0.2">
      <c r="A278" s="27" t="s">
        <v>215</v>
      </c>
      <c r="B278" s="23" t="s">
        <v>54</v>
      </c>
      <c r="C278" s="23" t="s">
        <v>25</v>
      </c>
      <c r="D278" s="23" t="s">
        <v>264</v>
      </c>
      <c r="E278" s="23" t="s">
        <v>8</v>
      </c>
      <c r="F278" s="25">
        <v>50415</v>
      </c>
      <c r="G278" s="25">
        <v>50415</v>
      </c>
      <c r="H278" s="25">
        <v>50415</v>
      </c>
    </row>
    <row r="279" spans="1:8" x14ac:dyDescent="0.2">
      <c r="A279" s="10" t="s">
        <v>267</v>
      </c>
      <c r="B279" s="8" t="s">
        <v>54</v>
      </c>
      <c r="C279" s="8" t="s">
        <v>25</v>
      </c>
      <c r="D279" s="8" t="s">
        <v>266</v>
      </c>
      <c r="E279" s="8"/>
      <c r="F279" s="9">
        <f>F280</f>
        <v>3103.8</v>
      </c>
      <c r="G279" s="9">
        <f>G280</f>
        <v>3103.8</v>
      </c>
      <c r="H279" s="9">
        <f>H280</f>
        <v>3103.8</v>
      </c>
    </row>
    <row r="280" spans="1:8" ht="25.5" x14ac:dyDescent="0.2">
      <c r="A280" s="27" t="s">
        <v>215</v>
      </c>
      <c r="B280" s="23" t="s">
        <v>54</v>
      </c>
      <c r="C280" s="23" t="s">
        <v>25</v>
      </c>
      <c r="D280" s="23" t="s">
        <v>266</v>
      </c>
      <c r="E280" s="23" t="s">
        <v>8</v>
      </c>
      <c r="F280" s="25">
        <v>3103.8</v>
      </c>
      <c r="G280" s="25">
        <v>3103.8</v>
      </c>
      <c r="H280" s="25">
        <v>3103.8</v>
      </c>
    </row>
    <row r="281" spans="1:8" x14ac:dyDescent="0.2">
      <c r="A281" s="10" t="s">
        <v>268</v>
      </c>
      <c r="B281" s="8" t="s">
        <v>54</v>
      </c>
      <c r="C281" s="8" t="s">
        <v>25</v>
      </c>
      <c r="D281" s="8" t="s">
        <v>269</v>
      </c>
      <c r="E281" s="8"/>
      <c r="F281" s="9">
        <f>F283+F282</f>
        <v>16810.7</v>
      </c>
      <c r="G281" s="9">
        <f>G283+G282</f>
        <v>16810.7</v>
      </c>
      <c r="H281" s="9">
        <f>H283+H282</f>
        <v>16810.7</v>
      </c>
    </row>
    <row r="282" spans="1:8" x14ac:dyDescent="0.2">
      <c r="A282" s="27" t="s">
        <v>13</v>
      </c>
      <c r="B282" s="23" t="s">
        <v>54</v>
      </c>
      <c r="C282" s="23" t="s">
        <v>25</v>
      </c>
      <c r="D282" s="23" t="s">
        <v>269</v>
      </c>
      <c r="E282" s="24" t="s">
        <v>14</v>
      </c>
      <c r="F282" s="25">
        <v>15</v>
      </c>
      <c r="G282" s="25">
        <v>15</v>
      </c>
      <c r="H282" s="25">
        <v>15</v>
      </c>
    </row>
    <row r="283" spans="1:8" ht="25.5" x14ac:dyDescent="0.2">
      <c r="A283" s="27" t="s">
        <v>215</v>
      </c>
      <c r="B283" s="23" t="s">
        <v>54</v>
      </c>
      <c r="C283" s="23" t="s">
        <v>25</v>
      </c>
      <c r="D283" s="23" t="s">
        <v>269</v>
      </c>
      <c r="E283" s="23" t="s">
        <v>8</v>
      </c>
      <c r="F283" s="25">
        <v>16795.7</v>
      </c>
      <c r="G283" s="25">
        <v>16795.7</v>
      </c>
      <c r="H283" s="25">
        <v>16795.7</v>
      </c>
    </row>
    <row r="284" spans="1:8" ht="14.25" customHeight="1" x14ac:dyDescent="0.2">
      <c r="A284" s="14" t="s">
        <v>64</v>
      </c>
      <c r="B284" s="11" t="s">
        <v>54</v>
      </c>
      <c r="C284" s="11" t="s">
        <v>32</v>
      </c>
      <c r="D284" s="11"/>
      <c r="E284" s="11"/>
      <c r="F284" s="12">
        <f>F285+F289</f>
        <v>3954.2</v>
      </c>
      <c r="G284" s="12">
        <f t="shared" ref="G284:H284" si="42">G285+G289</f>
        <v>3954.2</v>
      </c>
      <c r="H284" s="12">
        <f t="shared" si="42"/>
        <v>3954.2</v>
      </c>
    </row>
    <row r="285" spans="1:8" x14ac:dyDescent="0.2">
      <c r="A285" s="10" t="s">
        <v>355</v>
      </c>
      <c r="B285" s="8" t="s">
        <v>54</v>
      </c>
      <c r="C285" s="8" t="s">
        <v>32</v>
      </c>
      <c r="D285" s="8" t="s">
        <v>270</v>
      </c>
      <c r="E285" s="8"/>
      <c r="F285" s="9">
        <f>F286+F287+F288</f>
        <v>1018.3</v>
      </c>
      <c r="G285" s="9">
        <f>G286+G287+G288</f>
        <v>1018.3</v>
      </c>
      <c r="H285" s="9">
        <f>H286+H287+H288</f>
        <v>1018.3</v>
      </c>
    </row>
    <row r="286" spans="1:8" ht="51" x14ac:dyDescent="0.2">
      <c r="A286" s="22" t="s">
        <v>9</v>
      </c>
      <c r="B286" s="23" t="s">
        <v>54</v>
      </c>
      <c r="C286" s="23" t="s">
        <v>32</v>
      </c>
      <c r="D286" s="23" t="s">
        <v>270</v>
      </c>
      <c r="E286" s="24" t="s">
        <v>10</v>
      </c>
      <c r="F286" s="25">
        <f>936.3+9</f>
        <v>945.3</v>
      </c>
      <c r="G286" s="25">
        <f>936.3+9</f>
        <v>945.3</v>
      </c>
      <c r="H286" s="25">
        <f>936.3+9</f>
        <v>945.3</v>
      </c>
    </row>
    <row r="287" spans="1:8" ht="25.5" x14ac:dyDescent="0.2">
      <c r="A287" s="27" t="s">
        <v>20</v>
      </c>
      <c r="B287" s="23" t="s">
        <v>54</v>
      </c>
      <c r="C287" s="23" t="s">
        <v>32</v>
      </c>
      <c r="D287" s="23" t="s">
        <v>270</v>
      </c>
      <c r="E287" s="24" t="s">
        <v>12</v>
      </c>
      <c r="F287" s="25">
        <v>64.5</v>
      </c>
      <c r="G287" s="25">
        <v>64.5</v>
      </c>
      <c r="H287" s="25">
        <v>64.5</v>
      </c>
    </row>
    <row r="288" spans="1:8" x14ac:dyDescent="0.2">
      <c r="A288" s="27" t="s">
        <v>16</v>
      </c>
      <c r="B288" s="23" t="s">
        <v>54</v>
      </c>
      <c r="C288" s="23" t="s">
        <v>32</v>
      </c>
      <c r="D288" s="23" t="s">
        <v>270</v>
      </c>
      <c r="E288" s="23" t="s">
        <v>17</v>
      </c>
      <c r="F288" s="25">
        <v>8.5</v>
      </c>
      <c r="G288" s="25">
        <v>8.5</v>
      </c>
      <c r="H288" s="25">
        <v>8.5</v>
      </c>
    </row>
    <row r="289" spans="1:14" x14ac:dyDescent="0.2">
      <c r="A289" s="10" t="s">
        <v>355</v>
      </c>
      <c r="B289" s="8" t="s">
        <v>54</v>
      </c>
      <c r="C289" s="8" t="s">
        <v>32</v>
      </c>
      <c r="D289" s="8" t="s">
        <v>271</v>
      </c>
      <c r="E289" s="8"/>
      <c r="F289" s="9">
        <f>F290+F291</f>
        <v>2935.8999999999996</v>
      </c>
      <c r="G289" s="9">
        <f t="shared" ref="G289:H289" si="43">G290+G291</f>
        <v>2935.8999999999996</v>
      </c>
      <c r="H289" s="9">
        <f t="shared" si="43"/>
        <v>2935.8999999999996</v>
      </c>
    </row>
    <row r="290" spans="1:14" ht="51" x14ac:dyDescent="0.2">
      <c r="A290" s="22" t="s">
        <v>9</v>
      </c>
      <c r="B290" s="23" t="s">
        <v>54</v>
      </c>
      <c r="C290" s="23" t="s">
        <v>32</v>
      </c>
      <c r="D290" s="23" t="s">
        <v>271</v>
      </c>
      <c r="E290" s="24" t="s">
        <v>10</v>
      </c>
      <c r="F290" s="25">
        <f>2671.7+25.7</f>
        <v>2697.3999999999996</v>
      </c>
      <c r="G290" s="25">
        <f>2671.7+25.7</f>
        <v>2697.3999999999996</v>
      </c>
      <c r="H290" s="25">
        <f>2671.7+25.7</f>
        <v>2697.3999999999996</v>
      </c>
    </row>
    <row r="291" spans="1:14" ht="25.5" x14ac:dyDescent="0.2">
      <c r="A291" s="27" t="s">
        <v>20</v>
      </c>
      <c r="B291" s="23" t="s">
        <v>54</v>
      </c>
      <c r="C291" s="23" t="s">
        <v>32</v>
      </c>
      <c r="D291" s="23" t="s">
        <v>271</v>
      </c>
      <c r="E291" s="24" t="s">
        <v>12</v>
      </c>
      <c r="F291" s="25">
        <v>238.5</v>
      </c>
      <c r="G291" s="25">
        <v>238.5</v>
      </c>
      <c r="H291" s="25">
        <v>238.5</v>
      </c>
    </row>
    <row r="292" spans="1:14" ht="15.75" x14ac:dyDescent="0.25">
      <c r="A292" s="35" t="s">
        <v>59</v>
      </c>
      <c r="B292" s="33" t="s">
        <v>58</v>
      </c>
      <c r="C292" s="33" t="s">
        <v>26</v>
      </c>
      <c r="D292" s="33"/>
      <c r="E292" s="33"/>
      <c r="F292" s="34">
        <f>F293+F297+F310+F397+F422</f>
        <v>965907.7</v>
      </c>
      <c r="G292" s="34">
        <f>G293+G297+G310+G397+G422</f>
        <v>940009.20000000007</v>
      </c>
      <c r="H292" s="34">
        <f>H293+H297+H310+H397+H422</f>
        <v>881258.7</v>
      </c>
    </row>
    <row r="293" spans="1:14" x14ac:dyDescent="0.2">
      <c r="A293" s="14" t="s">
        <v>60</v>
      </c>
      <c r="B293" s="11" t="s">
        <v>58</v>
      </c>
      <c r="C293" s="11" t="s">
        <v>25</v>
      </c>
      <c r="D293" s="11"/>
      <c r="E293" s="11"/>
      <c r="F293" s="12">
        <f>F294</f>
        <v>5805.4</v>
      </c>
      <c r="G293" s="12">
        <f>G294</f>
        <v>5805.4</v>
      </c>
      <c r="H293" s="12">
        <f>H294</f>
        <v>5805.4</v>
      </c>
    </row>
    <row r="294" spans="1:14" ht="76.5" x14ac:dyDescent="0.2">
      <c r="A294" s="10" t="s">
        <v>323</v>
      </c>
      <c r="B294" s="8" t="s">
        <v>58</v>
      </c>
      <c r="C294" s="8" t="s">
        <v>25</v>
      </c>
      <c r="D294" s="8" t="s">
        <v>274</v>
      </c>
      <c r="E294" s="8"/>
      <c r="F294" s="9">
        <f>F296+F295</f>
        <v>5805.4</v>
      </c>
      <c r="G294" s="9">
        <f>G296+G295</f>
        <v>5805.4</v>
      </c>
      <c r="H294" s="9">
        <f>H296+H295</f>
        <v>5805.4</v>
      </c>
    </row>
    <row r="295" spans="1:14" ht="25.5" x14ac:dyDescent="0.2">
      <c r="A295" s="27" t="s">
        <v>20</v>
      </c>
      <c r="B295" s="23" t="s">
        <v>58</v>
      </c>
      <c r="C295" s="23" t="s">
        <v>25</v>
      </c>
      <c r="D295" s="23" t="s">
        <v>274</v>
      </c>
      <c r="E295" s="24" t="s">
        <v>12</v>
      </c>
      <c r="F295" s="25">
        <v>28.9</v>
      </c>
      <c r="G295" s="25">
        <v>28.9</v>
      </c>
      <c r="H295" s="25">
        <v>28.9</v>
      </c>
    </row>
    <row r="296" spans="1:14" x14ac:dyDescent="0.2">
      <c r="A296" s="27" t="s">
        <v>13</v>
      </c>
      <c r="B296" s="23" t="s">
        <v>58</v>
      </c>
      <c r="C296" s="23" t="s">
        <v>25</v>
      </c>
      <c r="D296" s="23" t="s">
        <v>274</v>
      </c>
      <c r="E296" s="23" t="s">
        <v>14</v>
      </c>
      <c r="F296" s="25">
        <v>5776.5</v>
      </c>
      <c r="G296" s="25">
        <v>5776.5</v>
      </c>
      <c r="H296" s="25">
        <v>5776.5</v>
      </c>
    </row>
    <row r="297" spans="1:14" x14ac:dyDescent="0.2">
      <c r="A297" s="14" t="s">
        <v>61</v>
      </c>
      <c r="B297" s="11" t="s">
        <v>58</v>
      </c>
      <c r="C297" s="11" t="s">
        <v>28</v>
      </c>
      <c r="D297" s="11"/>
      <c r="E297" s="11"/>
      <c r="F297" s="12">
        <f>F298+F300+F305+F308</f>
        <v>149878.1</v>
      </c>
      <c r="G297" s="12">
        <f t="shared" ref="G297:H297" si="44">G298+G300+G305+G308</f>
        <v>149192</v>
      </c>
      <c r="H297" s="12">
        <f t="shared" si="44"/>
        <v>149192</v>
      </c>
    </row>
    <row r="298" spans="1:14" ht="51" x14ac:dyDescent="0.2">
      <c r="A298" s="10" t="s">
        <v>275</v>
      </c>
      <c r="B298" s="8" t="s">
        <v>58</v>
      </c>
      <c r="C298" s="8" t="s">
        <v>28</v>
      </c>
      <c r="D298" s="8" t="s">
        <v>89</v>
      </c>
      <c r="E298" s="8"/>
      <c r="F298" s="9">
        <f>F299</f>
        <v>107263</v>
      </c>
      <c r="G298" s="9">
        <f>G299</f>
        <v>107263</v>
      </c>
      <c r="H298" s="9">
        <f>H299</f>
        <v>107263</v>
      </c>
    </row>
    <row r="299" spans="1:14" ht="25.5" x14ac:dyDescent="0.2">
      <c r="A299" s="27" t="s">
        <v>215</v>
      </c>
      <c r="B299" s="23" t="s">
        <v>58</v>
      </c>
      <c r="C299" s="23" t="s">
        <v>28</v>
      </c>
      <c r="D299" s="23" t="s">
        <v>90</v>
      </c>
      <c r="E299" s="23" t="s">
        <v>8</v>
      </c>
      <c r="F299" s="25">
        <f>85897+21366</f>
        <v>107263</v>
      </c>
      <c r="G299" s="25">
        <f>85897+21366</f>
        <v>107263</v>
      </c>
      <c r="H299" s="25">
        <f>85897+21366</f>
        <v>107263</v>
      </c>
    </row>
    <row r="300" spans="1:14" ht="63.75" x14ac:dyDescent="0.2">
      <c r="A300" s="10" t="s">
        <v>276</v>
      </c>
      <c r="B300" s="8" t="s">
        <v>58</v>
      </c>
      <c r="C300" s="8" t="s">
        <v>28</v>
      </c>
      <c r="D300" s="8" t="s">
        <v>92</v>
      </c>
      <c r="E300" s="8"/>
      <c r="F300" s="9">
        <f>F301+F302+F304+F303</f>
        <v>41745</v>
      </c>
      <c r="G300" s="9">
        <f t="shared" ref="G300:H300" si="45">G301+G302+G304+G303</f>
        <v>41745</v>
      </c>
      <c r="H300" s="9">
        <f t="shared" si="45"/>
        <v>41745</v>
      </c>
    </row>
    <row r="301" spans="1:14" ht="51" x14ac:dyDescent="0.2">
      <c r="A301" s="22" t="s">
        <v>9</v>
      </c>
      <c r="B301" s="23" t="s">
        <v>58</v>
      </c>
      <c r="C301" s="23" t="s">
        <v>28</v>
      </c>
      <c r="D301" s="23" t="s">
        <v>92</v>
      </c>
      <c r="E301" s="24" t="s">
        <v>10</v>
      </c>
      <c r="F301" s="25">
        <f>33290+1417</f>
        <v>34707</v>
      </c>
      <c r="G301" s="25">
        <f>33290+1417</f>
        <v>34707</v>
      </c>
      <c r="H301" s="25">
        <f>33290+1417</f>
        <v>34707</v>
      </c>
    </row>
    <row r="302" spans="1:14" ht="25.5" x14ac:dyDescent="0.2">
      <c r="A302" s="27" t="s">
        <v>20</v>
      </c>
      <c r="B302" s="23" t="s">
        <v>58</v>
      </c>
      <c r="C302" s="23" t="s">
        <v>28</v>
      </c>
      <c r="D302" s="23" t="s">
        <v>92</v>
      </c>
      <c r="E302" s="24" t="s">
        <v>12</v>
      </c>
      <c r="F302" s="25">
        <f>180+6544-2.3</f>
        <v>6721.7</v>
      </c>
      <c r="G302" s="25">
        <f>180+6544</f>
        <v>6724</v>
      </c>
      <c r="H302" s="25">
        <f>180+6544</f>
        <v>6724</v>
      </c>
    </row>
    <row r="303" spans="1:14" s="26" customFormat="1" x14ac:dyDescent="0.2">
      <c r="A303" s="27" t="s">
        <v>13</v>
      </c>
      <c r="B303" s="23" t="s">
        <v>58</v>
      </c>
      <c r="C303" s="23" t="s">
        <v>28</v>
      </c>
      <c r="D303" s="23" t="s">
        <v>92</v>
      </c>
      <c r="E303" s="24" t="s">
        <v>14</v>
      </c>
      <c r="F303" s="25">
        <v>2.2999999999999998</v>
      </c>
      <c r="G303" s="25">
        <v>0</v>
      </c>
      <c r="H303" s="25">
        <v>0</v>
      </c>
      <c r="I303" s="4"/>
      <c r="J303" s="4"/>
      <c r="K303" s="4"/>
      <c r="L303" s="4"/>
      <c r="M303" s="4"/>
      <c r="N303" s="4"/>
    </row>
    <row r="304" spans="1:14" x14ac:dyDescent="0.2">
      <c r="A304" s="27" t="s">
        <v>16</v>
      </c>
      <c r="B304" s="23" t="s">
        <v>58</v>
      </c>
      <c r="C304" s="23" t="s">
        <v>28</v>
      </c>
      <c r="D304" s="23" t="s">
        <v>92</v>
      </c>
      <c r="E304" s="23" t="s">
        <v>17</v>
      </c>
      <c r="F304" s="25">
        <v>314</v>
      </c>
      <c r="G304" s="25">
        <v>314</v>
      </c>
      <c r="H304" s="25">
        <v>314</v>
      </c>
    </row>
    <row r="305" spans="1:12" ht="25.5" x14ac:dyDescent="0.2">
      <c r="A305" s="10" t="s">
        <v>278</v>
      </c>
      <c r="B305" s="8" t="s">
        <v>58</v>
      </c>
      <c r="C305" s="8" t="s">
        <v>28</v>
      </c>
      <c r="D305" s="8" t="s">
        <v>277</v>
      </c>
      <c r="E305" s="8"/>
      <c r="F305" s="9">
        <f>F306+F307</f>
        <v>717.1</v>
      </c>
      <c r="G305" s="9">
        <f>G306+G307</f>
        <v>31</v>
      </c>
      <c r="H305" s="9">
        <f>H306+H307</f>
        <v>31</v>
      </c>
    </row>
    <row r="306" spans="1:12" ht="51" x14ac:dyDescent="0.2">
      <c r="A306" s="22" t="s">
        <v>9</v>
      </c>
      <c r="B306" s="23" t="s">
        <v>58</v>
      </c>
      <c r="C306" s="23" t="s">
        <v>28</v>
      </c>
      <c r="D306" s="23" t="s">
        <v>277</v>
      </c>
      <c r="E306" s="24" t="s">
        <v>10</v>
      </c>
      <c r="F306" s="25">
        <f>17.2</f>
        <v>17.2</v>
      </c>
      <c r="G306" s="25">
        <v>17.2</v>
      </c>
      <c r="H306" s="25">
        <v>17.2</v>
      </c>
    </row>
    <row r="307" spans="1:12" ht="25.5" x14ac:dyDescent="0.2">
      <c r="A307" s="27" t="s">
        <v>20</v>
      </c>
      <c r="B307" s="23" t="s">
        <v>58</v>
      </c>
      <c r="C307" s="23" t="s">
        <v>28</v>
      </c>
      <c r="D307" s="23" t="s">
        <v>277</v>
      </c>
      <c r="E307" s="24" t="s">
        <v>12</v>
      </c>
      <c r="F307" s="25">
        <v>699.9</v>
      </c>
      <c r="G307" s="25">
        <v>13.8</v>
      </c>
      <c r="H307" s="25">
        <v>13.8</v>
      </c>
    </row>
    <row r="308" spans="1:12" ht="75" customHeight="1" x14ac:dyDescent="0.2">
      <c r="A308" s="10" t="s">
        <v>293</v>
      </c>
      <c r="B308" s="8" t="s">
        <v>58</v>
      </c>
      <c r="C308" s="8" t="s">
        <v>28</v>
      </c>
      <c r="D308" s="8" t="s">
        <v>110</v>
      </c>
      <c r="E308" s="8"/>
      <c r="F308" s="9">
        <f>F309</f>
        <v>153</v>
      </c>
      <c r="G308" s="9">
        <f t="shared" ref="G308:H308" si="46">G309</f>
        <v>153</v>
      </c>
      <c r="H308" s="9">
        <f t="shared" si="46"/>
        <v>153</v>
      </c>
    </row>
    <row r="309" spans="1:12" s="26" customFormat="1" ht="51.75" customHeight="1" x14ac:dyDescent="0.2">
      <c r="A309" s="22" t="s">
        <v>9</v>
      </c>
      <c r="B309" s="23" t="s">
        <v>58</v>
      </c>
      <c r="C309" s="23" t="s">
        <v>28</v>
      </c>
      <c r="D309" s="23" t="s">
        <v>110</v>
      </c>
      <c r="E309" s="23" t="s">
        <v>10</v>
      </c>
      <c r="F309" s="25">
        <v>153</v>
      </c>
      <c r="G309" s="25">
        <v>153</v>
      </c>
      <c r="H309" s="25">
        <v>153</v>
      </c>
    </row>
    <row r="310" spans="1:12" x14ac:dyDescent="0.2">
      <c r="A310" s="14" t="s">
        <v>62</v>
      </c>
      <c r="B310" s="11" t="s">
        <v>58</v>
      </c>
      <c r="C310" s="11" t="s">
        <v>30</v>
      </c>
      <c r="D310" s="11"/>
      <c r="E310" s="11"/>
      <c r="F310" s="12">
        <f>F313+F319+F323+F328+F330+F326+F335+F340+F343+F346+F349+F352+F355+F358+F362+F365+F368+F371+F374+F376+F379+F382+F385+F388+F391+F394+F337+F332+F311+F317+F321+F315</f>
        <v>573096.5</v>
      </c>
      <c r="G310" s="12">
        <f t="shared" ref="G310:H310" si="47">G313+G319+G323+G328+G330+G326+G335+G340+G343+G346+G349+G352+G355+G358+G362+G365+G368+G371+G374+G376+G379+G382+G385+G388+G391+G394+G337+G332+G311+G317+G321+G315</f>
        <v>560853.80000000005</v>
      </c>
      <c r="H310" s="12">
        <f t="shared" si="47"/>
        <v>496713.6</v>
      </c>
    </row>
    <row r="311" spans="1:12" ht="51" x14ac:dyDescent="0.2">
      <c r="A311" s="10" t="s">
        <v>382</v>
      </c>
      <c r="B311" s="8" t="s">
        <v>58</v>
      </c>
      <c r="C311" s="8" t="s">
        <v>30</v>
      </c>
      <c r="D311" s="8" t="s">
        <v>384</v>
      </c>
      <c r="E311" s="8"/>
      <c r="F311" s="9">
        <f>F312</f>
        <v>1190.0999999999999</v>
      </c>
      <c r="G311" s="9">
        <f>G312</f>
        <v>0</v>
      </c>
      <c r="H311" s="9">
        <f>H312</f>
        <v>1190.0999999999999</v>
      </c>
    </row>
    <row r="312" spans="1:12" ht="25.5" x14ac:dyDescent="0.2">
      <c r="A312" s="27" t="s">
        <v>74</v>
      </c>
      <c r="B312" s="23" t="s">
        <v>58</v>
      </c>
      <c r="C312" s="23" t="s">
        <v>30</v>
      </c>
      <c r="D312" s="23" t="s">
        <v>384</v>
      </c>
      <c r="E312" s="23" t="s">
        <v>15</v>
      </c>
      <c r="F312" s="25">
        <v>1190.0999999999999</v>
      </c>
      <c r="G312" s="25">
        <v>0</v>
      </c>
      <c r="H312" s="25">
        <v>1190.0999999999999</v>
      </c>
    </row>
    <row r="313" spans="1:12" ht="63.75" x14ac:dyDescent="0.2">
      <c r="A313" s="10" t="s">
        <v>279</v>
      </c>
      <c r="B313" s="8" t="s">
        <v>58</v>
      </c>
      <c r="C313" s="8" t="s">
        <v>30</v>
      </c>
      <c r="D313" s="8" t="s">
        <v>81</v>
      </c>
      <c r="E313" s="8"/>
      <c r="F313" s="9">
        <f>F314</f>
        <v>2380.1</v>
      </c>
      <c r="G313" s="9">
        <f>G314</f>
        <v>3570.2000000000003</v>
      </c>
      <c r="H313" s="9">
        <f>H314</f>
        <v>2380.1</v>
      </c>
    </row>
    <row r="314" spans="1:12" ht="25.5" x14ac:dyDescent="0.2">
      <c r="A314" s="27" t="s">
        <v>74</v>
      </c>
      <c r="B314" s="23" t="s">
        <v>58</v>
      </c>
      <c r="C314" s="23" t="s">
        <v>30</v>
      </c>
      <c r="D314" s="23" t="s">
        <v>81</v>
      </c>
      <c r="E314" s="23" t="s">
        <v>15</v>
      </c>
      <c r="F314" s="25">
        <f>1485.2+894.9</f>
        <v>2380.1</v>
      </c>
      <c r="G314" s="25">
        <f>3578.4-8.2</f>
        <v>3570.2000000000003</v>
      </c>
      <c r="H314" s="25">
        <f>3746.1-1366</f>
        <v>2380.1</v>
      </c>
    </row>
    <row r="315" spans="1:12" ht="25.5" x14ac:dyDescent="0.2">
      <c r="A315" s="10" t="s">
        <v>357</v>
      </c>
      <c r="B315" s="8" t="s">
        <v>58</v>
      </c>
      <c r="C315" s="8" t="s">
        <v>30</v>
      </c>
      <c r="D315" s="8" t="s">
        <v>356</v>
      </c>
      <c r="E315" s="8"/>
      <c r="F315" s="9">
        <f>F316</f>
        <v>10990.7</v>
      </c>
      <c r="G315" s="9">
        <f>G316</f>
        <v>0</v>
      </c>
      <c r="H315" s="9">
        <f>H316</f>
        <v>0</v>
      </c>
    </row>
    <row r="316" spans="1:12" s="26" customFormat="1" ht="25.5" x14ac:dyDescent="0.2">
      <c r="A316" s="27" t="s">
        <v>74</v>
      </c>
      <c r="B316" s="23" t="s">
        <v>58</v>
      </c>
      <c r="C316" s="23" t="s">
        <v>30</v>
      </c>
      <c r="D316" s="23" t="s">
        <v>356</v>
      </c>
      <c r="E316" s="23" t="s">
        <v>15</v>
      </c>
      <c r="F316" s="25">
        <v>10990.7</v>
      </c>
      <c r="G316" s="25">
        <v>0</v>
      </c>
      <c r="H316" s="25">
        <v>0</v>
      </c>
      <c r="I316" s="13"/>
      <c r="J316" s="13"/>
      <c r="K316" s="13"/>
      <c r="L316" s="13"/>
    </row>
    <row r="317" spans="1:12" ht="38.25" x14ac:dyDescent="0.2">
      <c r="A317" s="10" t="s">
        <v>199</v>
      </c>
      <c r="B317" s="8" t="s">
        <v>58</v>
      </c>
      <c r="C317" s="8" t="s">
        <v>30</v>
      </c>
      <c r="D317" s="8" t="s">
        <v>198</v>
      </c>
      <c r="E317" s="8"/>
      <c r="F317" s="9">
        <f>F318</f>
        <v>940</v>
      </c>
      <c r="G317" s="9">
        <f>G318</f>
        <v>203.7</v>
      </c>
      <c r="H317" s="9">
        <f>H318</f>
        <v>435.9</v>
      </c>
    </row>
    <row r="318" spans="1:12" s="26" customFormat="1" ht="25.5" x14ac:dyDescent="0.2">
      <c r="A318" s="27" t="s">
        <v>74</v>
      </c>
      <c r="B318" s="23" t="s">
        <v>58</v>
      </c>
      <c r="C318" s="23" t="s">
        <v>30</v>
      </c>
      <c r="D318" s="23" t="s">
        <v>198</v>
      </c>
      <c r="E318" s="23" t="s">
        <v>15</v>
      </c>
      <c r="F318" s="25">
        <v>940</v>
      </c>
      <c r="G318" s="25">
        <v>203.7</v>
      </c>
      <c r="H318" s="25">
        <v>435.9</v>
      </c>
      <c r="I318" s="13"/>
      <c r="J318" s="13"/>
      <c r="K318" s="13"/>
    </row>
    <row r="319" spans="1:12" ht="38.25" x14ac:dyDescent="0.2">
      <c r="A319" s="10" t="s">
        <v>343</v>
      </c>
      <c r="B319" s="8" t="s">
        <v>58</v>
      </c>
      <c r="C319" s="8" t="s">
        <v>30</v>
      </c>
      <c r="D319" s="8" t="s">
        <v>126</v>
      </c>
      <c r="E319" s="8"/>
      <c r="F319" s="9">
        <f>F320</f>
        <v>1941.1</v>
      </c>
      <c r="G319" s="9">
        <f>G320</f>
        <v>369.2</v>
      </c>
      <c r="H319" s="9">
        <f>H320</f>
        <v>1005.4</v>
      </c>
    </row>
    <row r="320" spans="1:12" x14ac:dyDescent="0.2">
      <c r="A320" s="59" t="s">
        <v>13</v>
      </c>
      <c r="B320" s="23" t="s">
        <v>58</v>
      </c>
      <c r="C320" s="23" t="s">
        <v>30</v>
      </c>
      <c r="D320" s="23" t="s">
        <v>126</v>
      </c>
      <c r="E320" s="28">
        <v>300</v>
      </c>
      <c r="F320" s="25">
        <v>1941.1</v>
      </c>
      <c r="G320" s="25">
        <v>369.2</v>
      </c>
      <c r="H320" s="25">
        <v>1005.4</v>
      </c>
    </row>
    <row r="321" spans="1:15" ht="25.5" x14ac:dyDescent="0.2">
      <c r="A321" s="10" t="s">
        <v>183</v>
      </c>
      <c r="B321" s="8" t="s">
        <v>58</v>
      </c>
      <c r="C321" s="8" t="s">
        <v>30</v>
      </c>
      <c r="D321" s="8" t="s">
        <v>82</v>
      </c>
      <c r="E321" s="8"/>
      <c r="F321" s="9">
        <f>F322</f>
        <v>221327.9</v>
      </c>
      <c r="G321" s="9">
        <f>G322</f>
        <v>214857.1</v>
      </c>
      <c r="H321" s="9">
        <f>H322</f>
        <v>149488.5</v>
      </c>
    </row>
    <row r="322" spans="1:15" s="26" customFormat="1" x14ac:dyDescent="0.2">
      <c r="A322" s="27" t="s">
        <v>13</v>
      </c>
      <c r="B322" s="23" t="s">
        <v>58</v>
      </c>
      <c r="C322" s="23" t="s">
        <v>30</v>
      </c>
      <c r="D322" s="23" t="s">
        <v>82</v>
      </c>
      <c r="E322" s="23" t="s">
        <v>14</v>
      </c>
      <c r="F322" s="25">
        <v>221327.9</v>
      </c>
      <c r="G322" s="25">
        <v>214857.1</v>
      </c>
      <c r="H322" s="25">
        <v>149488.5</v>
      </c>
    </row>
    <row r="323" spans="1:15" ht="25.5" x14ac:dyDescent="0.2">
      <c r="A323" s="10" t="s">
        <v>367</v>
      </c>
      <c r="B323" s="8" t="s">
        <v>58</v>
      </c>
      <c r="C323" s="8" t="s">
        <v>30</v>
      </c>
      <c r="D323" s="8" t="s">
        <v>76</v>
      </c>
      <c r="E323" s="8"/>
      <c r="F323" s="9">
        <f>F324+F325</f>
        <v>1800</v>
      </c>
      <c r="G323" s="9">
        <f t="shared" ref="G323:H323" si="48">G324+G325</f>
        <v>1800</v>
      </c>
      <c r="H323" s="9">
        <f t="shared" si="48"/>
        <v>1800</v>
      </c>
    </row>
    <row r="324" spans="1:15" x14ac:dyDescent="0.2">
      <c r="A324" s="59" t="s">
        <v>13</v>
      </c>
      <c r="B324" s="23" t="s">
        <v>58</v>
      </c>
      <c r="C324" s="23" t="s">
        <v>30</v>
      </c>
      <c r="D324" s="23" t="s">
        <v>76</v>
      </c>
      <c r="E324" s="23" t="s">
        <v>14</v>
      </c>
      <c r="F324" s="25">
        <f>185+35.6</f>
        <v>220.6</v>
      </c>
      <c r="G324" s="25">
        <f>185+35.6</f>
        <v>220.6</v>
      </c>
      <c r="H324" s="25">
        <f>185+35.6</f>
        <v>220.6</v>
      </c>
    </row>
    <row r="325" spans="1:15" ht="25.5" x14ac:dyDescent="0.2">
      <c r="A325" s="27" t="s">
        <v>215</v>
      </c>
      <c r="B325" s="23" t="s">
        <v>58</v>
      </c>
      <c r="C325" s="23" t="s">
        <v>30</v>
      </c>
      <c r="D325" s="23" t="s">
        <v>76</v>
      </c>
      <c r="E325" s="23" t="s">
        <v>8</v>
      </c>
      <c r="F325" s="25">
        <f>1499.4+80</f>
        <v>1579.4</v>
      </c>
      <c r="G325" s="25">
        <f>1499.4+80</f>
        <v>1579.4</v>
      </c>
      <c r="H325" s="25">
        <f>1499.4+80</f>
        <v>1579.4</v>
      </c>
    </row>
    <row r="326" spans="1:15" ht="38.25" x14ac:dyDescent="0.2">
      <c r="A326" s="10" t="s">
        <v>280</v>
      </c>
      <c r="B326" s="8" t="s">
        <v>58</v>
      </c>
      <c r="C326" s="8" t="s">
        <v>30</v>
      </c>
      <c r="D326" s="8" t="s">
        <v>118</v>
      </c>
      <c r="E326" s="8"/>
      <c r="F326" s="9">
        <f>F327</f>
        <v>207</v>
      </c>
      <c r="G326" s="9">
        <f>G327</f>
        <v>207</v>
      </c>
      <c r="H326" s="9">
        <f>H327</f>
        <v>207</v>
      </c>
    </row>
    <row r="327" spans="1:15" x14ac:dyDescent="0.2">
      <c r="A327" s="59" t="s">
        <v>13</v>
      </c>
      <c r="B327" s="23" t="s">
        <v>58</v>
      </c>
      <c r="C327" s="23" t="s">
        <v>30</v>
      </c>
      <c r="D327" s="23" t="s">
        <v>118</v>
      </c>
      <c r="E327" s="28">
        <v>300</v>
      </c>
      <c r="F327" s="25">
        <v>207</v>
      </c>
      <c r="G327" s="25">
        <v>207</v>
      </c>
      <c r="H327" s="25">
        <v>207</v>
      </c>
    </row>
    <row r="328" spans="1:15" ht="51" x14ac:dyDescent="0.2">
      <c r="A328" s="10" t="s">
        <v>281</v>
      </c>
      <c r="B328" s="8" t="s">
        <v>58</v>
      </c>
      <c r="C328" s="8" t="s">
        <v>30</v>
      </c>
      <c r="D328" s="23" t="s">
        <v>117</v>
      </c>
      <c r="E328" s="8"/>
      <c r="F328" s="9">
        <f>F329</f>
        <v>387</v>
      </c>
      <c r="G328" s="9">
        <f>G329</f>
        <v>387</v>
      </c>
      <c r="H328" s="9">
        <f>H329</f>
        <v>387</v>
      </c>
    </row>
    <row r="329" spans="1:15" x14ac:dyDescent="0.2">
      <c r="A329" s="59" t="s">
        <v>13</v>
      </c>
      <c r="B329" s="23" t="s">
        <v>58</v>
      </c>
      <c r="C329" s="23" t="s">
        <v>30</v>
      </c>
      <c r="D329" s="23" t="s">
        <v>117</v>
      </c>
      <c r="E329" s="28">
        <v>300</v>
      </c>
      <c r="F329" s="25">
        <v>387</v>
      </c>
      <c r="G329" s="25">
        <v>387</v>
      </c>
      <c r="H329" s="25">
        <v>387</v>
      </c>
    </row>
    <row r="330" spans="1:15" ht="38.25" x14ac:dyDescent="0.2">
      <c r="A330" s="38" t="s">
        <v>282</v>
      </c>
      <c r="B330" s="8" t="s">
        <v>58</v>
      </c>
      <c r="C330" s="8" t="s">
        <v>30</v>
      </c>
      <c r="D330" s="8" t="s">
        <v>116</v>
      </c>
      <c r="E330" s="8"/>
      <c r="F330" s="9">
        <f>F331</f>
        <v>570</v>
      </c>
      <c r="G330" s="9">
        <f>G331</f>
        <v>570</v>
      </c>
      <c r="H330" s="9">
        <f>H331</f>
        <v>570</v>
      </c>
    </row>
    <row r="331" spans="1:15" x14ac:dyDescent="0.2">
      <c r="A331" s="59" t="s">
        <v>13</v>
      </c>
      <c r="B331" s="23" t="s">
        <v>58</v>
      </c>
      <c r="C331" s="23" t="s">
        <v>30</v>
      </c>
      <c r="D331" s="23" t="s">
        <v>116</v>
      </c>
      <c r="E331" s="23" t="s">
        <v>14</v>
      </c>
      <c r="F331" s="25">
        <v>570</v>
      </c>
      <c r="G331" s="25">
        <v>570</v>
      </c>
      <c r="H331" s="25">
        <v>570</v>
      </c>
    </row>
    <row r="332" spans="1:15" ht="25.5" x14ac:dyDescent="0.2">
      <c r="A332" s="38" t="s">
        <v>283</v>
      </c>
      <c r="B332" s="8" t="s">
        <v>58</v>
      </c>
      <c r="C332" s="8" t="s">
        <v>30</v>
      </c>
      <c r="D332" s="8" t="s">
        <v>123</v>
      </c>
      <c r="E332" s="8"/>
      <c r="F332" s="9">
        <f>F334+F333</f>
        <v>550.9</v>
      </c>
      <c r="G332" s="9">
        <f>G334+G333</f>
        <v>550.9</v>
      </c>
      <c r="H332" s="9">
        <f>H334+H333</f>
        <v>550.9</v>
      </c>
      <c r="N332" s="26"/>
      <c r="O332" s="26"/>
    </row>
    <row r="333" spans="1:15" ht="25.5" x14ac:dyDescent="0.2">
      <c r="A333" s="27" t="s">
        <v>20</v>
      </c>
      <c r="B333" s="23" t="s">
        <v>58</v>
      </c>
      <c r="C333" s="23" t="s">
        <v>30</v>
      </c>
      <c r="D333" s="23" t="s">
        <v>123</v>
      </c>
      <c r="E333" s="24" t="s">
        <v>12</v>
      </c>
      <c r="F333" s="25">
        <v>89.4</v>
      </c>
      <c r="G333" s="25">
        <v>89.4</v>
      </c>
      <c r="H333" s="25">
        <v>89.4</v>
      </c>
    </row>
    <row r="334" spans="1:15" ht="25.5" x14ac:dyDescent="0.2">
      <c r="A334" s="27" t="s">
        <v>215</v>
      </c>
      <c r="B334" s="23" t="s">
        <v>58</v>
      </c>
      <c r="C334" s="23" t="s">
        <v>30</v>
      </c>
      <c r="D334" s="23" t="s">
        <v>123</v>
      </c>
      <c r="E334" s="23" t="s">
        <v>8</v>
      </c>
      <c r="F334" s="25">
        <f>432+29.5</f>
        <v>461.5</v>
      </c>
      <c r="G334" s="25">
        <f>432+29.5</f>
        <v>461.5</v>
      </c>
      <c r="H334" s="25">
        <f>432+29.5</f>
        <v>461.5</v>
      </c>
      <c r="I334" s="4"/>
      <c r="J334" s="4"/>
      <c r="K334" s="4"/>
      <c r="L334" s="4"/>
      <c r="M334" s="4"/>
      <c r="N334" s="4"/>
      <c r="O334" s="4"/>
    </row>
    <row r="335" spans="1:15" ht="63.75" x14ac:dyDescent="0.2">
      <c r="A335" s="10" t="s">
        <v>284</v>
      </c>
      <c r="B335" s="8" t="s">
        <v>58</v>
      </c>
      <c r="C335" s="8" t="s">
        <v>30</v>
      </c>
      <c r="D335" s="8" t="s">
        <v>119</v>
      </c>
      <c r="E335" s="8"/>
      <c r="F335" s="9">
        <f>F336</f>
        <v>1000</v>
      </c>
      <c r="G335" s="9">
        <f>G336</f>
        <v>1000</v>
      </c>
      <c r="H335" s="9">
        <f>H336</f>
        <v>1000</v>
      </c>
    </row>
    <row r="336" spans="1:15" x14ac:dyDescent="0.2">
      <c r="A336" s="27" t="s">
        <v>13</v>
      </c>
      <c r="B336" s="23" t="s">
        <v>58</v>
      </c>
      <c r="C336" s="23" t="s">
        <v>30</v>
      </c>
      <c r="D336" s="23" t="s">
        <v>119</v>
      </c>
      <c r="E336" s="23" t="s">
        <v>14</v>
      </c>
      <c r="F336" s="25">
        <v>1000</v>
      </c>
      <c r="G336" s="25">
        <v>1000</v>
      </c>
      <c r="H336" s="25">
        <v>1000</v>
      </c>
    </row>
    <row r="337" spans="1:8" ht="38.25" x14ac:dyDescent="0.2">
      <c r="A337" s="10" t="s">
        <v>285</v>
      </c>
      <c r="B337" s="8" t="s">
        <v>58</v>
      </c>
      <c r="C337" s="8" t="s">
        <v>30</v>
      </c>
      <c r="D337" s="8" t="s">
        <v>109</v>
      </c>
      <c r="E337" s="8"/>
      <c r="F337" s="9">
        <f>F339+F338</f>
        <v>462</v>
      </c>
      <c r="G337" s="9">
        <f>G339+G338</f>
        <v>521</v>
      </c>
      <c r="H337" s="9">
        <f>H339+H338</f>
        <v>541</v>
      </c>
    </row>
    <row r="338" spans="1:8" ht="25.5" x14ac:dyDescent="0.2">
      <c r="A338" s="27" t="s">
        <v>20</v>
      </c>
      <c r="B338" s="23" t="s">
        <v>58</v>
      </c>
      <c r="C338" s="23" t="s">
        <v>30</v>
      </c>
      <c r="D338" s="23" t="s">
        <v>109</v>
      </c>
      <c r="E338" s="24" t="s">
        <v>12</v>
      </c>
      <c r="F338" s="25">
        <v>2.2000000000000002</v>
      </c>
      <c r="G338" s="25">
        <v>2.2000000000000002</v>
      </c>
      <c r="H338" s="25">
        <v>2.2000000000000002</v>
      </c>
    </row>
    <row r="339" spans="1:8" x14ac:dyDescent="0.2">
      <c r="A339" s="27" t="s">
        <v>13</v>
      </c>
      <c r="B339" s="23" t="s">
        <v>58</v>
      </c>
      <c r="C339" s="23" t="s">
        <v>30</v>
      </c>
      <c r="D339" s="23" t="s">
        <v>109</v>
      </c>
      <c r="E339" s="23" t="s">
        <v>14</v>
      </c>
      <c r="F339" s="25">
        <v>459.8</v>
      </c>
      <c r="G339" s="25">
        <v>518.79999999999995</v>
      </c>
      <c r="H339" s="25">
        <v>538.79999999999995</v>
      </c>
    </row>
    <row r="340" spans="1:8" ht="38.25" x14ac:dyDescent="0.2">
      <c r="A340" s="10" t="s">
        <v>330</v>
      </c>
      <c r="B340" s="8" t="s">
        <v>58</v>
      </c>
      <c r="C340" s="8" t="s">
        <v>30</v>
      </c>
      <c r="D340" s="8" t="s">
        <v>94</v>
      </c>
      <c r="E340" s="8"/>
      <c r="F340" s="9">
        <f>F342+F341</f>
        <v>8158</v>
      </c>
      <c r="G340" s="9">
        <f>G342+G341</f>
        <v>8484</v>
      </c>
      <c r="H340" s="9">
        <f>H342+H341</f>
        <v>8824</v>
      </c>
    </row>
    <row r="341" spans="1:8" ht="25.5" x14ac:dyDescent="0.2">
      <c r="A341" s="27" t="s">
        <v>20</v>
      </c>
      <c r="B341" s="23" t="s">
        <v>58</v>
      </c>
      <c r="C341" s="23" t="s">
        <v>30</v>
      </c>
      <c r="D341" s="23" t="s">
        <v>94</v>
      </c>
      <c r="E341" s="24" t="s">
        <v>12</v>
      </c>
      <c r="F341" s="25">
        <v>40</v>
      </c>
      <c r="G341" s="25">
        <v>43</v>
      </c>
      <c r="H341" s="25">
        <v>44</v>
      </c>
    </row>
    <row r="342" spans="1:8" x14ac:dyDescent="0.2">
      <c r="A342" s="27" t="s">
        <v>13</v>
      </c>
      <c r="B342" s="23" t="s">
        <v>58</v>
      </c>
      <c r="C342" s="23" t="s">
        <v>30</v>
      </c>
      <c r="D342" s="23" t="s">
        <v>94</v>
      </c>
      <c r="E342" s="23" t="s">
        <v>14</v>
      </c>
      <c r="F342" s="25">
        <f>8166-48</f>
        <v>8118</v>
      </c>
      <c r="G342" s="25">
        <f>8491-50</f>
        <v>8441</v>
      </c>
      <c r="H342" s="25">
        <f>8832-52</f>
        <v>8780</v>
      </c>
    </row>
    <row r="343" spans="1:8" ht="25.5" x14ac:dyDescent="0.2">
      <c r="A343" s="10" t="s">
        <v>286</v>
      </c>
      <c r="B343" s="8" t="s">
        <v>58</v>
      </c>
      <c r="C343" s="8" t="s">
        <v>30</v>
      </c>
      <c r="D343" s="8" t="s">
        <v>96</v>
      </c>
      <c r="E343" s="8"/>
      <c r="F343" s="9">
        <f>F345+F344</f>
        <v>56361</v>
      </c>
      <c r="G343" s="9">
        <f>G345+G344</f>
        <v>57502</v>
      </c>
      <c r="H343" s="9">
        <f>H345+H344</f>
        <v>57502</v>
      </c>
    </row>
    <row r="344" spans="1:8" ht="25.5" x14ac:dyDescent="0.2">
      <c r="A344" s="27" t="s">
        <v>20</v>
      </c>
      <c r="B344" s="23" t="s">
        <v>58</v>
      </c>
      <c r="C344" s="23" t="s">
        <v>30</v>
      </c>
      <c r="D344" s="23" t="s">
        <v>96</v>
      </c>
      <c r="E344" s="24" t="s">
        <v>12</v>
      </c>
      <c r="F344" s="25">
        <f>561.5+146.5</f>
        <v>708</v>
      </c>
      <c r="G344" s="25">
        <f>571.5+161.5</f>
        <v>733</v>
      </c>
      <c r="H344" s="25">
        <f>571.5+161.5</f>
        <v>733</v>
      </c>
    </row>
    <row r="345" spans="1:8" x14ac:dyDescent="0.2">
      <c r="A345" s="27" t="s">
        <v>13</v>
      </c>
      <c r="B345" s="23" t="s">
        <v>58</v>
      </c>
      <c r="C345" s="23" t="s">
        <v>30</v>
      </c>
      <c r="D345" s="23" t="s">
        <v>96</v>
      </c>
      <c r="E345" s="23" t="s">
        <v>14</v>
      </c>
      <c r="F345" s="25">
        <v>55653</v>
      </c>
      <c r="G345" s="25">
        <v>56769</v>
      </c>
      <c r="H345" s="25">
        <v>56769</v>
      </c>
    </row>
    <row r="346" spans="1:8" ht="76.5" x14ac:dyDescent="0.2">
      <c r="A346" s="10" t="s">
        <v>335</v>
      </c>
      <c r="B346" s="8" t="s">
        <v>58</v>
      </c>
      <c r="C346" s="8" t="s">
        <v>30</v>
      </c>
      <c r="D346" s="8" t="s">
        <v>95</v>
      </c>
      <c r="E346" s="8"/>
      <c r="F346" s="9">
        <f>F347+F348</f>
        <v>9</v>
      </c>
      <c r="G346" s="9">
        <f>G347+G348</f>
        <v>10</v>
      </c>
      <c r="H346" s="9">
        <f>H347+H348</f>
        <v>10</v>
      </c>
    </row>
    <row r="347" spans="1:8" ht="25.5" x14ac:dyDescent="0.2">
      <c r="A347" s="27" t="s">
        <v>20</v>
      </c>
      <c r="B347" s="23" t="s">
        <v>58</v>
      </c>
      <c r="C347" s="23" t="s">
        <v>30</v>
      </c>
      <c r="D347" s="23" t="s">
        <v>95</v>
      </c>
      <c r="E347" s="24" t="s">
        <v>12</v>
      </c>
      <c r="F347" s="25">
        <v>0.1</v>
      </c>
      <c r="G347" s="25">
        <v>0.1</v>
      </c>
      <c r="H347" s="25">
        <v>0.1</v>
      </c>
    </row>
    <row r="348" spans="1:8" x14ac:dyDescent="0.2">
      <c r="A348" s="27" t="s">
        <v>13</v>
      </c>
      <c r="B348" s="23" t="s">
        <v>58</v>
      </c>
      <c r="C348" s="23" t="s">
        <v>30</v>
      </c>
      <c r="D348" s="23" t="s">
        <v>95</v>
      </c>
      <c r="E348" s="23" t="s">
        <v>14</v>
      </c>
      <c r="F348" s="25">
        <v>8.9</v>
      </c>
      <c r="G348" s="25">
        <v>9.9</v>
      </c>
      <c r="H348" s="25">
        <v>9.9</v>
      </c>
    </row>
    <row r="349" spans="1:8" ht="63.75" x14ac:dyDescent="0.2">
      <c r="A349" s="10" t="s">
        <v>287</v>
      </c>
      <c r="B349" s="8" t="s">
        <v>58</v>
      </c>
      <c r="C349" s="8" t="s">
        <v>30</v>
      </c>
      <c r="D349" s="8" t="s">
        <v>84</v>
      </c>
      <c r="E349" s="8"/>
      <c r="F349" s="9">
        <f>F351+F350</f>
        <v>26014</v>
      </c>
      <c r="G349" s="9">
        <f t="shared" ref="G349:H349" si="49">G351+G350</f>
        <v>26014</v>
      </c>
      <c r="H349" s="9">
        <f t="shared" si="49"/>
        <v>26014</v>
      </c>
    </row>
    <row r="350" spans="1:8" ht="25.5" x14ac:dyDescent="0.2">
      <c r="A350" s="27" t="s">
        <v>20</v>
      </c>
      <c r="B350" s="23" t="s">
        <v>58</v>
      </c>
      <c r="C350" s="23" t="s">
        <v>30</v>
      </c>
      <c r="D350" s="23" t="s">
        <v>84</v>
      </c>
      <c r="E350" s="24" t="s">
        <v>12</v>
      </c>
      <c r="F350" s="25">
        <f>185.1+72.2</f>
        <v>257.3</v>
      </c>
      <c r="G350" s="25">
        <f>185.1+72.2</f>
        <v>257.3</v>
      </c>
      <c r="H350" s="25">
        <f>185.1+72.2</f>
        <v>257.3</v>
      </c>
    </row>
    <row r="351" spans="1:8" x14ac:dyDescent="0.2">
      <c r="A351" s="27" t="s">
        <v>13</v>
      </c>
      <c r="B351" s="23" t="s">
        <v>58</v>
      </c>
      <c r="C351" s="23" t="s">
        <v>30</v>
      </c>
      <c r="D351" s="23" t="s">
        <v>84</v>
      </c>
      <c r="E351" s="23" t="s">
        <v>14</v>
      </c>
      <c r="F351" s="25">
        <f>24301.7+1455</f>
        <v>25756.7</v>
      </c>
      <c r="G351" s="25">
        <f>24301.7+1455</f>
        <v>25756.7</v>
      </c>
      <c r="H351" s="25">
        <f>24301.7+1455</f>
        <v>25756.7</v>
      </c>
    </row>
    <row r="352" spans="1:8" ht="127.5" x14ac:dyDescent="0.2">
      <c r="A352" s="10" t="s">
        <v>336</v>
      </c>
      <c r="B352" s="8" t="s">
        <v>58</v>
      </c>
      <c r="C352" s="8" t="s">
        <v>30</v>
      </c>
      <c r="D352" s="8" t="s">
        <v>85</v>
      </c>
      <c r="E352" s="8"/>
      <c r="F352" s="9">
        <f>F354+F353</f>
        <v>1612</v>
      </c>
      <c r="G352" s="9">
        <f t="shared" ref="G352:H352" si="50">G354+G353</f>
        <v>1612</v>
      </c>
      <c r="H352" s="9">
        <f t="shared" si="50"/>
        <v>1612</v>
      </c>
    </row>
    <row r="353" spans="1:8" ht="26.25" customHeight="1" x14ac:dyDescent="0.2">
      <c r="A353" s="27" t="s">
        <v>20</v>
      </c>
      <c r="B353" s="23" t="s">
        <v>58</v>
      </c>
      <c r="C353" s="23" t="s">
        <v>30</v>
      </c>
      <c r="D353" s="23" t="s">
        <v>85</v>
      </c>
      <c r="E353" s="24" t="s">
        <v>12</v>
      </c>
      <c r="F353" s="25">
        <f>28+1.6</f>
        <v>29.6</v>
      </c>
      <c r="G353" s="25">
        <f>28+1.6</f>
        <v>29.6</v>
      </c>
      <c r="H353" s="25">
        <f>28+1.6</f>
        <v>29.6</v>
      </c>
    </row>
    <row r="354" spans="1:8" x14ac:dyDescent="0.2">
      <c r="A354" s="27" t="s">
        <v>13</v>
      </c>
      <c r="B354" s="23" t="s">
        <v>58</v>
      </c>
      <c r="C354" s="23" t="s">
        <v>30</v>
      </c>
      <c r="D354" s="23" t="s">
        <v>85</v>
      </c>
      <c r="E354" s="23" t="s">
        <v>14</v>
      </c>
      <c r="F354" s="25">
        <f>1562.4+20</f>
        <v>1582.4</v>
      </c>
      <c r="G354" s="25">
        <f>1562.4+20</f>
        <v>1582.4</v>
      </c>
      <c r="H354" s="25">
        <f>1562.4+20</f>
        <v>1582.4</v>
      </c>
    </row>
    <row r="355" spans="1:8" ht="76.5" x14ac:dyDescent="0.2">
      <c r="A355" s="10" t="s">
        <v>288</v>
      </c>
      <c r="B355" s="8" t="s">
        <v>58</v>
      </c>
      <c r="C355" s="8" t="s">
        <v>30</v>
      </c>
      <c r="D355" s="8" t="s">
        <v>86</v>
      </c>
      <c r="E355" s="8"/>
      <c r="F355" s="9">
        <f>F357+F356</f>
        <v>9182</v>
      </c>
      <c r="G355" s="9">
        <f t="shared" ref="G355:H355" si="51">G357+G356</f>
        <v>9182</v>
      </c>
      <c r="H355" s="9">
        <f t="shared" si="51"/>
        <v>9182</v>
      </c>
    </row>
    <row r="356" spans="1:8" ht="25.5" x14ac:dyDescent="0.2">
      <c r="A356" s="27" t="s">
        <v>20</v>
      </c>
      <c r="B356" s="23" t="s">
        <v>58</v>
      </c>
      <c r="C356" s="23" t="s">
        <v>30</v>
      </c>
      <c r="D356" s="23" t="s">
        <v>86</v>
      </c>
      <c r="E356" s="24" t="s">
        <v>12</v>
      </c>
      <c r="F356" s="25">
        <f>92.5+20.4</f>
        <v>112.9</v>
      </c>
      <c r="G356" s="25">
        <f>92.5+20.4</f>
        <v>112.9</v>
      </c>
      <c r="H356" s="25">
        <f>92.5+20.4</f>
        <v>112.9</v>
      </c>
    </row>
    <row r="357" spans="1:8" x14ac:dyDescent="0.2">
      <c r="A357" s="27" t="s">
        <v>13</v>
      </c>
      <c r="B357" s="23" t="s">
        <v>58</v>
      </c>
      <c r="C357" s="23" t="s">
        <v>30</v>
      </c>
      <c r="D357" s="23" t="s">
        <v>86</v>
      </c>
      <c r="E357" s="23" t="s">
        <v>14</v>
      </c>
      <c r="F357" s="25">
        <f>8903.1+166</f>
        <v>9069.1</v>
      </c>
      <c r="G357" s="25">
        <f>8903.1+166</f>
        <v>9069.1</v>
      </c>
      <c r="H357" s="25">
        <f>8903.1+166</f>
        <v>9069.1</v>
      </c>
    </row>
    <row r="358" spans="1:8" ht="51" x14ac:dyDescent="0.2">
      <c r="A358" s="10" t="s">
        <v>289</v>
      </c>
      <c r="B358" s="8" t="s">
        <v>58</v>
      </c>
      <c r="C358" s="8" t="s">
        <v>30</v>
      </c>
      <c r="D358" s="8" t="s">
        <v>100</v>
      </c>
      <c r="E358" s="8"/>
      <c r="F358" s="9">
        <f>F360+F361+F359</f>
        <v>20403</v>
      </c>
      <c r="G358" s="9">
        <f>G360+G361+G359</f>
        <v>20403</v>
      </c>
      <c r="H358" s="9">
        <f>H360+H361+H359</f>
        <v>20403</v>
      </c>
    </row>
    <row r="359" spans="1:8" ht="25.5" x14ac:dyDescent="0.2">
      <c r="A359" s="27" t="s">
        <v>20</v>
      </c>
      <c r="B359" s="23" t="s">
        <v>58</v>
      </c>
      <c r="C359" s="23" t="s">
        <v>30</v>
      </c>
      <c r="D359" s="23" t="s">
        <v>100</v>
      </c>
      <c r="E359" s="24" t="s">
        <v>12</v>
      </c>
      <c r="F359" s="25">
        <f>1+62.9</f>
        <v>63.9</v>
      </c>
      <c r="G359" s="25">
        <f>1+62.9</f>
        <v>63.9</v>
      </c>
      <c r="H359" s="25">
        <f>1+62.9</f>
        <v>63.9</v>
      </c>
    </row>
    <row r="360" spans="1:8" x14ac:dyDescent="0.2">
      <c r="A360" s="27" t="s">
        <v>13</v>
      </c>
      <c r="B360" s="23" t="s">
        <v>58</v>
      </c>
      <c r="C360" s="23" t="s">
        <v>30</v>
      </c>
      <c r="D360" s="23" t="s">
        <v>100</v>
      </c>
      <c r="E360" s="23" t="s">
        <v>14</v>
      </c>
      <c r="F360" s="25">
        <f>50+12702.6</f>
        <v>12752.6</v>
      </c>
      <c r="G360" s="25">
        <f>50+12702.6</f>
        <v>12752.6</v>
      </c>
      <c r="H360" s="25">
        <f>50+12702.6</f>
        <v>12752.6</v>
      </c>
    </row>
    <row r="361" spans="1:8" ht="25.5" x14ac:dyDescent="0.2">
      <c r="A361" s="27" t="s">
        <v>215</v>
      </c>
      <c r="B361" s="23" t="s">
        <v>58</v>
      </c>
      <c r="C361" s="23" t="s">
        <v>30</v>
      </c>
      <c r="D361" s="23" t="s">
        <v>100</v>
      </c>
      <c r="E361" s="23" t="s">
        <v>8</v>
      </c>
      <c r="F361" s="25">
        <v>7586.5</v>
      </c>
      <c r="G361" s="25">
        <v>7586.5</v>
      </c>
      <c r="H361" s="25">
        <v>7586.5</v>
      </c>
    </row>
    <row r="362" spans="1:8" ht="51" x14ac:dyDescent="0.2">
      <c r="A362" s="10" t="s">
        <v>290</v>
      </c>
      <c r="B362" s="8" t="s">
        <v>58</v>
      </c>
      <c r="C362" s="8" t="s">
        <v>30</v>
      </c>
      <c r="D362" s="8" t="s">
        <v>87</v>
      </c>
      <c r="E362" s="8"/>
      <c r="F362" s="9">
        <f>F364+F363</f>
        <v>460.29999999999995</v>
      </c>
      <c r="G362" s="9">
        <f t="shared" ref="G362:H362" si="52">G364+G363</f>
        <v>460.29999999999995</v>
      </c>
      <c r="H362" s="9">
        <f t="shared" si="52"/>
        <v>460.29999999999995</v>
      </c>
    </row>
    <row r="363" spans="1:8" ht="25.5" x14ac:dyDescent="0.2">
      <c r="A363" s="27" t="s">
        <v>20</v>
      </c>
      <c r="B363" s="23" t="s">
        <v>58</v>
      </c>
      <c r="C363" s="23" t="s">
        <v>30</v>
      </c>
      <c r="D363" s="23" t="s">
        <v>87</v>
      </c>
      <c r="E363" s="24" t="s">
        <v>12</v>
      </c>
      <c r="F363" s="25">
        <f>3.1+1.8</f>
        <v>4.9000000000000004</v>
      </c>
      <c r="G363" s="25">
        <f>3.1+1.8</f>
        <v>4.9000000000000004</v>
      </c>
      <c r="H363" s="25">
        <f>3.1+1.8</f>
        <v>4.9000000000000004</v>
      </c>
    </row>
    <row r="364" spans="1:8" x14ac:dyDescent="0.2">
      <c r="A364" s="27" t="s">
        <v>13</v>
      </c>
      <c r="B364" s="23" t="s">
        <v>58</v>
      </c>
      <c r="C364" s="23" t="s">
        <v>30</v>
      </c>
      <c r="D364" s="23" t="s">
        <v>87</v>
      </c>
      <c r="E364" s="23" t="s">
        <v>14</v>
      </c>
      <c r="F364" s="25">
        <f>445.4+10</f>
        <v>455.4</v>
      </c>
      <c r="G364" s="25">
        <f>445.4+10</f>
        <v>455.4</v>
      </c>
      <c r="H364" s="25">
        <f>445.4+10</f>
        <v>455.4</v>
      </c>
    </row>
    <row r="365" spans="1:8" ht="51" x14ac:dyDescent="0.2">
      <c r="A365" s="10" t="s">
        <v>337</v>
      </c>
      <c r="B365" s="8" t="s">
        <v>58</v>
      </c>
      <c r="C365" s="8" t="s">
        <v>30</v>
      </c>
      <c r="D365" s="8" t="s">
        <v>103</v>
      </c>
      <c r="E365" s="8"/>
      <c r="F365" s="9">
        <f>F367+F366</f>
        <v>10.299999999999999</v>
      </c>
      <c r="G365" s="9">
        <f>G367+G366</f>
        <v>10.299999999999999</v>
      </c>
      <c r="H365" s="9">
        <f>H367+H366</f>
        <v>10.299999999999999</v>
      </c>
    </row>
    <row r="366" spans="1:8" ht="25.5" x14ac:dyDescent="0.2">
      <c r="A366" s="27" t="s">
        <v>20</v>
      </c>
      <c r="B366" s="23" t="s">
        <v>58</v>
      </c>
      <c r="C366" s="23" t="s">
        <v>30</v>
      </c>
      <c r="D366" s="23" t="s">
        <v>103</v>
      </c>
      <c r="E366" s="24" t="s">
        <v>12</v>
      </c>
      <c r="F366" s="25">
        <v>0.1</v>
      </c>
      <c r="G366" s="25">
        <v>0.1</v>
      </c>
      <c r="H366" s="25">
        <v>0.1</v>
      </c>
    </row>
    <row r="367" spans="1:8" x14ac:dyDescent="0.2">
      <c r="A367" s="27" t="s">
        <v>13</v>
      </c>
      <c r="B367" s="23" t="s">
        <v>58</v>
      </c>
      <c r="C367" s="23" t="s">
        <v>30</v>
      </c>
      <c r="D367" s="23" t="s">
        <v>103</v>
      </c>
      <c r="E367" s="23" t="s">
        <v>14</v>
      </c>
      <c r="F367" s="25">
        <v>10.199999999999999</v>
      </c>
      <c r="G367" s="25">
        <v>10.199999999999999</v>
      </c>
      <c r="H367" s="25">
        <v>10.199999999999999</v>
      </c>
    </row>
    <row r="368" spans="1:8" ht="51" x14ac:dyDescent="0.2">
      <c r="A368" s="10" t="s">
        <v>291</v>
      </c>
      <c r="B368" s="8" t="s">
        <v>58</v>
      </c>
      <c r="C368" s="8" t="s">
        <v>30</v>
      </c>
      <c r="D368" s="8" t="s">
        <v>88</v>
      </c>
      <c r="E368" s="8"/>
      <c r="F368" s="9">
        <f>F370+F369</f>
        <v>525.9</v>
      </c>
      <c r="G368" s="9">
        <f t="shared" ref="G368:H368" si="53">G370+G369</f>
        <v>525.9</v>
      </c>
      <c r="H368" s="9">
        <f t="shared" si="53"/>
        <v>525.9</v>
      </c>
    </row>
    <row r="369" spans="1:8" ht="25.5" x14ac:dyDescent="0.2">
      <c r="A369" s="27" t="s">
        <v>20</v>
      </c>
      <c r="B369" s="23" t="s">
        <v>58</v>
      </c>
      <c r="C369" s="23" t="s">
        <v>30</v>
      </c>
      <c r="D369" s="23" t="s">
        <v>88</v>
      </c>
      <c r="E369" s="24" t="s">
        <v>12</v>
      </c>
      <c r="F369" s="25">
        <f>7+1.5</f>
        <v>8.5</v>
      </c>
      <c r="G369" s="25">
        <f>7+1.5</f>
        <v>8.5</v>
      </c>
      <c r="H369" s="25">
        <f>7+1.5</f>
        <v>8.5</v>
      </c>
    </row>
    <row r="370" spans="1:8" x14ac:dyDescent="0.2">
      <c r="A370" s="27" t="s">
        <v>13</v>
      </c>
      <c r="B370" s="23" t="s">
        <v>58</v>
      </c>
      <c r="C370" s="23" t="s">
        <v>30</v>
      </c>
      <c r="D370" s="23" t="s">
        <v>88</v>
      </c>
      <c r="E370" s="23" t="s">
        <v>14</v>
      </c>
      <c r="F370" s="25">
        <f>477.4+40</f>
        <v>517.4</v>
      </c>
      <c r="G370" s="25">
        <f>477.4+40</f>
        <v>517.4</v>
      </c>
      <c r="H370" s="25">
        <f>477.4+40</f>
        <v>517.4</v>
      </c>
    </row>
    <row r="371" spans="1:8" ht="25.5" x14ac:dyDescent="0.2">
      <c r="A371" s="10" t="s">
        <v>292</v>
      </c>
      <c r="B371" s="8" t="s">
        <v>58</v>
      </c>
      <c r="C371" s="8" t="s">
        <v>30</v>
      </c>
      <c r="D371" s="8" t="s">
        <v>98</v>
      </c>
      <c r="E371" s="8"/>
      <c r="F371" s="9">
        <f>F373+F372</f>
        <v>87047</v>
      </c>
      <c r="G371" s="9">
        <f>G373+G372</f>
        <v>93047</v>
      </c>
      <c r="H371" s="9">
        <f>H373+H372</f>
        <v>93047</v>
      </c>
    </row>
    <row r="372" spans="1:8" ht="25.5" x14ac:dyDescent="0.2">
      <c r="A372" s="27" t="s">
        <v>20</v>
      </c>
      <c r="B372" s="23" t="s">
        <v>58</v>
      </c>
      <c r="C372" s="23" t="s">
        <v>30</v>
      </c>
      <c r="D372" s="23" t="s">
        <v>98</v>
      </c>
      <c r="E372" s="24" t="s">
        <v>12</v>
      </c>
      <c r="F372" s="25">
        <f>56+480</f>
        <v>536</v>
      </c>
      <c r="G372" s="25">
        <v>560</v>
      </c>
      <c r="H372" s="25">
        <v>560</v>
      </c>
    </row>
    <row r="373" spans="1:8" x14ac:dyDescent="0.2">
      <c r="A373" s="27" t="s">
        <v>13</v>
      </c>
      <c r="B373" s="23" t="s">
        <v>58</v>
      </c>
      <c r="C373" s="23" t="s">
        <v>30</v>
      </c>
      <c r="D373" s="23" t="s">
        <v>98</v>
      </c>
      <c r="E373" s="23" t="s">
        <v>14</v>
      </c>
      <c r="F373" s="25">
        <v>86511</v>
      </c>
      <c r="G373" s="25">
        <v>92487</v>
      </c>
      <c r="H373" s="25">
        <v>92487</v>
      </c>
    </row>
    <row r="374" spans="1:8" ht="114.75" x14ac:dyDescent="0.2">
      <c r="A374" s="10" t="s">
        <v>338</v>
      </c>
      <c r="B374" s="8" t="s">
        <v>58</v>
      </c>
      <c r="C374" s="8" t="s">
        <v>30</v>
      </c>
      <c r="D374" s="8" t="s">
        <v>104</v>
      </c>
      <c r="E374" s="8"/>
      <c r="F374" s="9">
        <f>F375</f>
        <v>1.2</v>
      </c>
      <c r="G374" s="9">
        <f>G375</f>
        <v>1.2</v>
      </c>
      <c r="H374" s="9">
        <f>H375</f>
        <v>1.2</v>
      </c>
    </row>
    <row r="375" spans="1:8" x14ac:dyDescent="0.2">
      <c r="A375" s="59" t="s">
        <v>13</v>
      </c>
      <c r="B375" s="23" t="s">
        <v>58</v>
      </c>
      <c r="C375" s="23" t="s">
        <v>30</v>
      </c>
      <c r="D375" s="23" t="s">
        <v>104</v>
      </c>
      <c r="E375" s="23" t="s">
        <v>14</v>
      </c>
      <c r="F375" s="25">
        <v>1.2</v>
      </c>
      <c r="G375" s="25">
        <v>1.2</v>
      </c>
      <c r="H375" s="25">
        <v>1.2</v>
      </c>
    </row>
    <row r="376" spans="1:8" ht="51" x14ac:dyDescent="0.2">
      <c r="A376" s="10" t="s">
        <v>294</v>
      </c>
      <c r="B376" s="8" t="s">
        <v>58</v>
      </c>
      <c r="C376" s="8" t="s">
        <v>30</v>
      </c>
      <c r="D376" s="8" t="s">
        <v>101</v>
      </c>
      <c r="E376" s="8"/>
      <c r="F376" s="9">
        <f>F378+F377</f>
        <v>3136</v>
      </c>
      <c r="G376" s="9">
        <f>G378+G377</f>
        <v>3136</v>
      </c>
      <c r="H376" s="9">
        <f>H378+H377</f>
        <v>3136</v>
      </c>
    </row>
    <row r="377" spans="1:8" ht="25.5" x14ac:dyDescent="0.2">
      <c r="A377" s="27" t="s">
        <v>20</v>
      </c>
      <c r="B377" s="23" t="s">
        <v>58</v>
      </c>
      <c r="C377" s="23" t="s">
        <v>30</v>
      </c>
      <c r="D377" s="23" t="s">
        <v>101</v>
      </c>
      <c r="E377" s="24" t="s">
        <v>12</v>
      </c>
      <c r="F377" s="25">
        <v>2</v>
      </c>
      <c r="G377" s="25">
        <v>2</v>
      </c>
      <c r="H377" s="25">
        <v>2</v>
      </c>
    </row>
    <row r="378" spans="1:8" x14ac:dyDescent="0.2">
      <c r="A378" s="27" t="s">
        <v>13</v>
      </c>
      <c r="B378" s="23" t="s">
        <v>58</v>
      </c>
      <c r="C378" s="23" t="s">
        <v>30</v>
      </c>
      <c r="D378" s="23" t="s">
        <v>101</v>
      </c>
      <c r="E378" s="23" t="s">
        <v>14</v>
      </c>
      <c r="F378" s="25">
        <v>3134</v>
      </c>
      <c r="G378" s="25">
        <v>3134</v>
      </c>
      <c r="H378" s="25">
        <v>3134</v>
      </c>
    </row>
    <row r="379" spans="1:8" ht="38.25" x14ac:dyDescent="0.2">
      <c r="A379" s="10" t="s">
        <v>339</v>
      </c>
      <c r="B379" s="8" t="s">
        <v>58</v>
      </c>
      <c r="C379" s="8" t="s">
        <v>30</v>
      </c>
      <c r="D379" s="8" t="s">
        <v>107</v>
      </c>
      <c r="E379" s="8"/>
      <c r="F379" s="9">
        <f>F381+F380</f>
        <v>21361</v>
      </c>
      <c r="G379" s="9">
        <f>G381+G380</f>
        <v>21361</v>
      </c>
      <c r="H379" s="9">
        <f>H381+H380</f>
        <v>21361</v>
      </c>
    </row>
    <row r="380" spans="1:8" ht="25.5" x14ac:dyDescent="0.2">
      <c r="A380" s="27" t="s">
        <v>20</v>
      </c>
      <c r="B380" s="23" t="s">
        <v>58</v>
      </c>
      <c r="C380" s="23" t="s">
        <v>30</v>
      </c>
      <c r="D380" s="23" t="s">
        <v>107</v>
      </c>
      <c r="E380" s="24" t="s">
        <v>12</v>
      </c>
      <c r="F380" s="25">
        <f>255+45</f>
        <v>300</v>
      </c>
      <c r="G380" s="25">
        <f t="shared" ref="G380:H380" si="54">255+45</f>
        <v>300</v>
      </c>
      <c r="H380" s="25">
        <f t="shared" si="54"/>
        <v>300</v>
      </c>
    </row>
    <row r="381" spans="1:8" x14ac:dyDescent="0.2">
      <c r="A381" s="27" t="s">
        <v>13</v>
      </c>
      <c r="B381" s="23" t="s">
        <v>58</v>
      </c>
      <c r="C381" s="23" t="s">
        <v>30</v>
      </c>
      <c r="D381" s="23" t="s">
        <v>107</v>
      </c>
      <c r="E381" s="23" t="s">
        <v>14</v>
      </c>
      <c r="F381" s="25">
        <v>21061</v>
      </c>
      <c r="G381" s="25">
        <v>21061</v>
      </c>
      <c r="H381" s="25">
        <v>21061</v>
      </c>
    </row>
    <row r="382" spans="1:8" ht="51" x14ac:dyDescent="0.2">
      <c r="A382" s="10" t="s">
        <v>295</v>
      </c>
      <c r="B382" s="8" t="s">
        <v>58</v>
      </c>
      <c r="C382" s="8" t="s">
        <v>30</v>
      </c>
      <c r="D382" s="8" t="s">
        <v>102</v>
      </c>
      <c r="E382" s="8"/>
      <c r="F382" s="9">
        <f>F384+F383</f>
        <v>95</v>
      </c>
      <c r="G382" s="9">
        <f>G384+G383</f>
        <v>95</v>
      </c>
      <c r="H382" s="9">
        <f>H384+H383</f>
        <v>95</v>
      </c>
    </row>
    <row r="383" spans="1:8" ht="25.5" x14ac:dyDescent="0.2">
      <c r="A383" s="27" t="s">
        <v>20</v>
      </c>
      <c r="B383" s="23" t="s">
        <v>58</v>
      </c>
      <c r="C383" s="23" t="s">
        <v>30</v>
      </c>
      <c r="D383" s="23" t="s">
        <v>102</v>
      </c>
      <c r="E383" s="24" t="s">
        <v>12</v>
      </c>
      <c r="F383" s="25">
        <v>1.5</v>
      </c>
      <c r="G383" s="25">
        <v>1.5</v>
      </c>
      <c r="H383" s="25">
        <v>1.5</v>
      </c>
    </row>
    <row r="384" spans="1:8" x14ac:dyDescent="0.2">
      <c r="A384" s="27" t="s">
        <v>13</v>
      </c>
      <c r="B384" s="23" t="s">
        <v>58</v>
      </c>
      <c r="C384" s="23" t="s">
        <v>30</v>
      </c>
      <c r="D384" s="23" t="s">
        <v>102</v>
      </c>
      <c r="E384" s="23" t="s">
        <v>14</v>
      </c>
      <c r="F384" s="25">
        <v>93.5</v>
      </c>
      <c r="G384" s="25">
        <v>93.5</v>
      </c>
      <c r="H384" s="25">
        <v>93.5</v>
      </c>
    </row>
    <row r="385" spans="1:8" ht="63.75" x14ac:dyDescent="0.2">
      <c r="A385" s="10" t="s">
        <v>296</v>
      </c>
      <c r="B385" s="8" t="s">
        <v>58</v>
      </c>
      <c r="C385" s="8" t="s">
        <v>30</v>
      </c>
      <c r="D385" s="8" t="s">
        <v>105</v>
      </c>
      <c r="E385" s="8"/>
      <c r="F385" s="9">
        <f>F387+F386</f>
        <v>1153</v>
      </c>
      <c r="G385" s="9">
        <f>G387+G386</f>
        <v>1153</v>
      </c>
      <c r="H385" s="9">
        <f>H387+H386</f>
        <v>1153</v>
      </c>
    </row>
    <row r="386" spans="1:8" ht="25.5" x14ac:dyDescent="0.2">
      <c r="A386" s="27" t="s">
        <v>20</v>
      </c>
      <c r="B386" s="23" t="s">
        <v>58</v>
      </c>
      <c r="C386" s="23" t="s">
        <v>30</v>
      </c>
      <c r="D386" s="23" t="s">
        <v>105</v>
      </c>
      <c r="E386" s="24" t="s">
        <v>12</v>
      </c>
      <c r="F386" s="25">
        <f>5.5+1</f>
        <v>6.5</v>
      </c>
      <c r="G386" s="25">
        <f>5.5+1</f>
        <v>6.5</v>
      </c>
      <c r="H386" s="25">
        <f>5.5+1</f>
        <v>6.5</v>
      </c>
    </row>
    <row r="387" spans="1:8" x14ac:dyDescent="0.2">
      <c r="A387" s="27" t="s">
        <v>13</v>
      </c>
      <c r="B387" s="23" t="s">
        <v>58</v>
      </c>
      <c r="C387" s="23" t="s">
        <v>30</v>
      </c>
      <c r="D387" s="23" t="s">
        <v>105</v>
      </c>
      <c r="E387" s="23" t="s">
        <v>14</v>
      </c>
      <c r="F387" s="25">
        <f>930.5+216</f>
        <v>1146.5</v>
      </c>
      <c r="G387" s="25">
        <f>930.5+216</f>
        <v>1146.5</v>
      </c>
      <c r="H387" s="25">
        <f>930.5+216</f>
        <v>1146.5</v>
      </c>
    </row>
    <row r="388" spans="1:8" ht="38.25" x14ac:dyDescent="0.2">
      <c r="A388" s="10" t="s">
        <v>297</v>
      </c>
      <c r="B388" s="8" t="s">
        <v>58</v>
      </c>
      <c r="C388" s="8" t="s">
        <v>30</v>
      </c>
      <c r="D388" s="8" t="s">
        <v>106</v>
      </c>
      <c r="E388" s="8"/>
      <c r="F388" s="9">
        <f>F390+F389</f>
        <v>318</v>
      </c>
      <c r="G388" s="9">
        <f>G390+G389</f>
        <v>318</v>
      </c>
      <c r="H388" s="9">
        <f>H390+H389</f>
        <v>318</v>
      </c>
    </row>
    <row r="389" spans="1:8" ht="25.5" x14ac:dyDescent="0.2">
      <c r="A389" s="27" t="s">
        <v>20</v>
      </c>
      <c r="B389" s="23" t="s">
        <v>58</v>
      </c>
      <c r="C389" s="23" t="s">
        <v>30</v>
      </c>
      <c r="D389" s="23" t="s">
        <v>106</v>
      </c>
      <c r="E389" s="24" t="s">
        <v>12</v>
      </c>
      <c r="F389" s="25">
        <v>6.4</v>
      </c>
      <c r="G389" s="25">
        <v>6.4</v>
      </c>
      <c r="H389" s="25">
        <v>6.4</v>
      </c>
    </row>
    <row r="390" spans="1:8" x14ac:dyDescent="0.2">
      <c r="A390" s="27" t="s">
        <v>13</v>
      </c>
      <c r="B390" s="23" t="s">
        <v>58</v>
      </c>
      <c r="C390" s="23" t="s">
        <v>30</v>
      </c>
      <c r="D390" s="23" t="s">
        <v>106</v>
      </c>
      <c r="E390" s="23" t="s">
        <v>14</v>
      </c>
      <c r="F390" s="25">
        <v>311.60000000000002</v>
      </c>
      <c r="G390" s="25">
        <v>311.60000000000002</v>
      </c>
      <c r="H390" s="25">
        <v>311.60000000000002</v>
      </c>
    </row>
    <row r="391" spans="1:8" ht="89.25" x14ac:dyDescent="0.2">
      <c r="A391" s="10" t="s">
        <v>341</v>
      </c>
      <c r="B391" s="8" t="s">
        <v>58</v>
      </c>
      <c r="C391" s="8" t="s">
        <v>30</v>
      </c>
      <c r="D391" s="8" t="s">
        <v>108</v>
      </c>
      <c r="E391" s="8"/>
      <c r="F391" s="9">
        <f>F393+F392</f>
        <v>92351</v>
      </c>
      <c r="G391" s="9">
        <f>G393+G392</f>
        <v>92351</v>
      </c>
      <c r="H391" s="9">
        <f>H393+H392</f>
        <v>92351</v>
      </c>
    </row>
    <row r="392" spans="1:8" ht="25.5" x14ac:dyDescent="0.2">
      <c r="A392" s="27" t="s">
        <v>20</v>
      </c>
      <c r="B392" s="23" t="s">
        <v>58</v>
      </c>
      <c r="C392" s="23" t="s">
        <v>30</v>
      </c>
      <c r="D392" s="23" t="s">
        <v>108</v>
      </c>
      <c r="E392" s="24" t="s">
        <v>12</v>
      </c>
      <c r="F392" s="25">
        <f>317+175+110+34+55+23+127+50+1+1.2</f>
        <v>893.2</v>
      </c>
      <c r="G392" s="25">
        <f>317+175+110+34+55+23+127+50+1+1.2</f>
        <v>893.2</v>
      </c>
      <c r="H392" s="25">
        <f>317+175+110+34+55+23+127+50+1+1.2</f>
        <v>893.2</v>
      </c>
    </row>
    <row r="393" spans="1:8" x14ac:dyDescent="0.2">
      <c r="A393" s="27" t="s">
        <v>13</v>
      </c>
      <c r="B393" s="23" t="s">
        <v>58</v>
      </c>
      <c r="C393" s="23" t="s">
        <v>30</v>
      </c>
      <c r="D393" s="23" t="s">
        <v>108</v>
      </c>
      <c r="E393" s="23" t="s">
        <v>14</v>
      </c>
      <c r="F393" s="25">
        <f>54147+12800+7500+16800.8+210</f>
        <v>91457.8</v>
      </c>
      <c r="G393" s="25">
        <f>54147+12800+7500+16800.8+210</f>
        <v>91457.8</v>
      </c>
      <c r="H393" s="25">
        <f>54147+12800+7500+16800.8+210</f>
        <v>91457.8</v>
      </c>
    </row>
    <row r="394" spans="1:8" ht="56.25" customHeight="1" x14ac:dyDescent="0.2">
      <c r="A394" s="10" t="s">
        <v>298</v>
      </c>
      <c r="B394" s="8" t="s">
        <v>58</v>
      </c>
      <c r="C394" s="8" t="s">
        <v>30</v>
      </c>
      <c r="D394" s="8" t="s">
        <v>83</v>
      </c>
      <c r="E394" s="8"/>
      <c r="F394" s="9">
        <f>F396+F395</f>
        <v>1152</v>
      </c>
      <c r="G394" s="9">
        <f>G396+G395</f>
        <v>1152</v>
      </c>
      <c r="H394" s="9">
        <f>H396+H395</f>
        <v>1152</v>
      </c>
    </row>
    <row r="395" spans="1:8" ht="25.5" x14ac:dyDescent="0.2">
      <c r="A395" s="27" t="s">
        <v>20</v>
      </c>
      <c r="B395" s="23" t="s">
        <v>58</v>
      </c>
      <c r="C395" s="23" t="s">
        <v>30</v>
      </c>
      <c r="D395" s="23" t="s">
        <v>83</v>
      </c>
      <c r="E395" s="24" t="s">
        <v>12</v>
      </c>
      <c r="F395" s="25">
        <v>19</v>
      </c>
      <c r="G395" s="25">
        <v>19</v>
      </c>
      <c r="H395" s="25">
        <v>19</v>
      </c>
    </row>
    <row r="396" spans="1:8" x14ac:dyDescent="0.2">
      <c r="A396" s="27" t="s">
        <v>13</v>
      </c>
      <c r="B396" s="23" t="s">
        <v>58</v>
      </c>
      <c r="C396" s="23" t="s">
        <v>30</v>
      </c>
      <c r="D396" s="23" t="s">
        <v>83</v>
      </c>
      <c r="E396" s="23" t="s">
        <v>14</v>
      </c>
      <c r="F396" s="25">
        <f>175+958</f>
        <v>1133</v>
      </c>
      <c r="G396" s="25">
        <f>175+958</f>
        <v>1133</v>
      </c>
      <c r="H396" s="25">
        <f>175+958</f>
        <v>1133</v>
      </c>
    </row>
    <row r="397" spans="1:8" x14ac:dyDescent="0.2">
      <c r="A397" s="14" t="s">
        <v>69</v>
      </c>
      <c r="B397" s="11" t="s">
        <v>58</v>
      </c>
      <c r="C397" s="11" t="s">
        <v>32</v>
      </c>
      <c r="D397" s="11"/>
      <c r="E397" s="11"/>
      <c r="F397" s="12">
        <f>F398+F402+F404+F410+F415+F408+F419+F412+F400+F417</f>
        <v>210764.2</v>
      </c>
      <c r="G397" s="12">
        <f>G398+G402+G404+G410+G415+G408+G419+G412+G400+G417</f>
        <v>197794.5</v>
      </c>
      <c r="H397" s="12">
        <f>H398+H402+H404+H410+H415+H408+H419+H412+H400+H417</f>
        <v>203184.19999999998</v>
      </c>
    </row>
    <row r="398" spans="1:8" ht="38.25" x14ac:dyDescent="0.2">
      <c r="A398" s="10" t="s">
        <v>299</v>
      </c>
      <c r="B398" s="8" t="s">
        <v>58</v>
      </c>
      <c r="C398" s="6" t="s">
        <v>32</v>
      </c>
      <c r="D398" s="8" t="s">
        <v>124</v>
      </c>
      <c r="E398" s="8"/>
      <c r="F398" s="9">
        <f>F399</f>
        <v>26293.5</v>
      </c>
      <c r="G398" s="9">
        <f>G399</f>
        <v>27404.7</v>
      </c>
      <c r="H398" s="9">
        <f>H399</f>
        <v>28500.799999999999</v>
      </c>
    </row>
    <row r="399" spans="1:8" ht="25.5" x14ac:dyDescent="0.2">
      <c r="A399" s="27" t="s">
        <v>74</v>
      </c>
      <c r="B399" s="23" t="s">
        <v>58</v>
      </c>
      <c r="C399" s="23" t="s">
        <v>32</v>
      </c>
      <c r="D399" s="8" t="s">
        <v>124</v>
      </c>
      <c r="E399" s="23" t="s">
        <v>15</v>
      </c>
      <c r="F399" s="25">
        <f>26434-140.5</f>
        <v>26293.5</v>
      </c>
      <c r="G399" s="25">
        <f>27564-159.3</f>
        <v>27404.7</v>
      </c>
      <c r="H399" s="25">
        <f>28666.6-165.8</f>
        <v>28500.799999999999</v>
      </c>
    </row>
    <row r="400" spans="1:8" ht="38.25" x14ac:dyDescent="0.2">
      <c r="A400" s="10" t="s">
        <v>299</v>
      </c>
      <c r="B400" s="8" t="s">
        <v>58</v>
      </c>
      <c r="C400" s="6" t="s">
        <v>32</v>
      </c>
      <c r="D400" s="8" t="s">
        <v>361</v>
      </c>
      <c r="E400" s="8"/>
      <c r="F400" s="9">
        <f>F401</f>
        <v>11875.699999999999</v>
      </c>
      <c r="G400" s="9">
        <f>G401</f>
        <v>11686.800000000001</v>
      </c>
      <c r="H400" s="9">
        <f>H401</f>
        <v>11500.4</v>
      </c>
    </row>
    <row r="401" spans="1:8" ht="25.5" x14ac:dyDescent="0.2">
      <c r="A401" s="27" t="s">
        <v>74</v>
      </c>
      <c r="B401" s="23" t="s">
        <v>58</v>
      </c>
      <c r="C401" s="23" t="s">
        <v>32</v>
      </c>
      <c r="D401" s="8" t="s">
        <v>361</v>
      </c>
      <c r="E401" s="23" t="s">
        <v>15</v>
      </c>
      <c r="F401" s="25">
        <f>11851.8+23.9</f>
        <v>11875.699999999999</v>
      </c>
      <c r="G401" s="25">
        <f>11659.7+27.1</f>
        <v>11686.800000000001</v>
      </c>
      <c r="H401" s="25">
        <f>11472.3+28.1</f>
        <v>11500.4</v>
      </c>
    </row>
    <row r="402" spans="1:8" ht="25.5" x14ac:dyDescent="0.2">
      <c r="A402" s="10" t="s">
        <v>300</v>
      </c>
      <c r="B402" s="8" t="s">
        <v>58</v>
      </c>
      <c r="C402" s="8" t="s">
        <v>32</v>
      </c>
      <c r="D402" s="8" t="s">
        <v>122</v>
      </c>
      <c r="E402" s="8"/>
      <c r="F402" s="9">
        <f>F403</f>
        <v>1200</v>
      </c>
      <c r="G402" s="9">
        <f t="shared" ref="G402:H402" si="55">G403</f>
        <v>1288</v>
      </c>
      <c r="H402" s="9">
        <f t="shared" si="55"/>
        <v>1000</v>
      </c>
    </row>
    <row r="403" spans="1:8" x14ac:dyDescent="0.2">
      <c r="A403" s="27" t="s">
        <v>13</v>
      </c>
      <c r="B403" s="23" t="s">
        <v>58</v>
      </c>
      <c r="C403" s="23" t="s">
        <v>32</v>
      </c>
      <c r="D403" s="23" t="s">
        <v>122</v>
      </c>
      <c r="E403" s="23" t="s">
        <v>14</v>
      </c>
      <c r="F403" s="25">
        <v>1200</v>
      </c>
      <c r="G403" s="25">
        <v>1288</v>
      </c>
      <c r="H403" s="25">
        <v>1000</v>
      </c>
    </row>
    <row r="404" spans="1:8" ht="38.25" x14ac:dyDescent="0.2">
      <c r="A404" s="10" t="s">
        <v>301</v>
      </c>
      <c r="B404" s="8" t="s">
        <v>58</v>
      </c>
      <c r="C404" s="8" t="s">
        <v>32</v>
      </c>
      <c r="D404" s="8" t="s">
        <v>120</v>
      </c>
      <c r="E404" s="8"/>
      <c r="F404" s="9">
        <f>F406+F407+F405</f>
        <v>3754</v>
      </c>
      <c r="G404" s="9">
        <f>G406+G407+G405</f>
        <v>3754</v>
      </c>
      <c r="H404" s="9">
        <f>H406+H407+H405</f>
        <v>3754</v>
      </c>
    </row>
    <row r="405" spans="1:8" ht="25.5" x14ac:dyDescent="0.2">
      <c r="A405" s="27" t="s">
        <v>20</v>
      </c>
      <c r="B405" s="23" t="s">
        <v>58</v>
      </c>
      <c r="C405" s="23" t="s">
        <v>32</v>
      </c>
      <c r="D405" s="23" t="s">
        <v>120</v>
      </c>
      <c r="E405" s="24" t="s">
        <v>12</v>
      </c>
      <c r="F405" s="25">
        <v>3.2</v>
      </c>
      <c r="G405" s="25">
        <v>3.2</v>
      </c>
      <c r="H405" s="25">
        <v>3.2</v>
      </c>
    </row>
    <row r="406" spans="1:8" x14ac:dyDescent="0.2">
      <c r="A406" s="59" t="s">
        <v>13</v>
      </c>
      <c r="B406" s="23" t="s">
        <v>58</v>
      </c>
      <c r="C406" s="23" t="s">
        <v>32</v>
      </c>
      <c r="D406" s="23" t="s">
        <v>120</v>
      </c>
      <c r="E406" s="28">
        <v>300</v>
      </c>
      <c r="F406" s="25">
        <v>320</v>
      </c>
      <c r="G406" s="25">
        <v>320</v>
      </c>
      <c r="H406" s="25">
        <v>320</v>
      </c>
    </row>
    <row r="407" spans="1:8" ht="25.5" x14ac:dyDescent="0.2">
      <c r="A407" s="27" t="s">
        <v>215</v>
      </c>
      <c r="B407" s="23" t="s">
        <v>58</v>
      </c>
      <c r="C407" s="23" t="s">
        <v>32</v>
      </c>
      <c r="D407" s="23" t="s">
        <v>120</v>
      </c>
      <c r="E407" s="23" t="s">
        <v>8</v>
      </c>
      <c r="F407" s="25">
        <f>31+3066.5+3.3+330</f>
        <v>3430.8</v>
      </c>
      <c r="G407" s="25">
        <f>31+3066.5+3.3+330</f>
        <v>3430.8</v>
      </c>
      <c r="H407" s="25">
        <f>31+3066.5+3.3+330</f>
        <v>3430.8</v>
      </c>
    </row>
    <row r="408" spans="1:8" ht="102" x14ac:dyDescent="0.2">
      <c r="A408" s="58" t="s">
        <v>369</v>
      </c>
      <c r="B408" s="8" t="s">
        <v>58</v>
      </c>
      <c r="C408" s="8" t="s">
        <v>32</v>
      </c>
      <c r="D408" s="8" t="s">
        <v>121</v>
      </c>
      <c r="E408" s="8"/>
      <c r="F408" s="9">
        <f>F409</f>
        <v>35842</v>
      </c>
      <c r="G408" s="9">
        <f t="shared" ref="G408:H408" si="56">G409</f>
        <v>35842</v>
      </c>
      <c r="H408" s="9">
        <f t="shared" si="56"/>
        <v>35842</v>
      </c>
    </row>
    <row r="409" spans="1:8" x14ac:dyDescent="0.2">
      <c r="A409" s="27" t="s">
        <v>13</v>
      </c>
      <c r="B409" s="23" t="s">
        <v>58</v>
      </c>
      <c r="C409" s="23" t="s">
        <v>32</v>
      </c>
      <c r="D409" s="23" t="s">
        <v>121</v>
      </c>
      <c r="E409" s="23" t="s">
        <v>14</v>
      </c>
      <c r="F409" s="25">
        <v>35842</v>
      </c>
      <c r="G409" s="25">
        <v>35842</v>
      </c>
      <c r="H409" s="25">
        <v>35842</v>
      </c>
    </row>
    <row r="410" spans="1:8" ht="76.5" x14ac:dyDescent="0.2">
      <c r="A410" s="10" t="s">
        <v>331</v>
      </c>
      <c r="B410" s="8" t="s">
        <v>58</v>
      </c>
      <c r="C410" s="8" t="s">
        <v>32</v>
      </c>
      <c r="D410" s="8" t="s">
        <v>93</v>
      </c>
      <c r="E410" s="8"/>
      <c r="F410" s="9">
        <f>F411</f>
        <v>1482</v>
      </c>
      <c r="G410" s="9">
        <f>G411</f>
        <v>1534</v>
      </c>
      <c r="H410" s="9">
        <f>H411</f>
        <v>1595</v>
      </c>
    </row>
    <row r="411" spans="1:8" x14ac:dyDescent="0.2">
      <c r="A411" s="27" t="s">
        <v>13</v>
      </c>
      <c r="B411" s="23" t="s">
        <v>58</v>
      </c>
      <c r="C411" s="23" t="s">
        <v>32</v>
      </c>
      <c r="D411" s="23" t="s">
        <v>93</v>
      </c>
      <c r="E411" s="23" t="s">
        <v>14</v>
      </c>
      <c r="F411" s="25">
        <v>1482</v>
      </c>
      <c r="G411" s="25">
        <v>1534</v>
      </c>
      <c r="H411" s="25">
        <v>1595</v>
      </c>
    </row>
    <row r="412" spans="1:8" ht="89.25" x14ac:dyDescent="0.2">
      <c r="A412" s="10" t="s">
        <v>302</v>
      </c>
      <c r="B412" s="8" t="s">
        <v>58</v>
      </c>
      <c r="C412" s="8" t="s">
        <v>32</v>
      </c>
      <c r="D412" s="8" t="s">
        <v>97</v>
      </c>
      <c r="E412" s="8"/>
      <c r="F412" s="9">
        <f>F414+F413</f>
        <v>55542</v>
      </c>
      <c r="G412" s="9">
        <f>G414+G413</f>
        <v>57742</v>
      </c>
      <c r="H412" s="9">
        <f>H414+H413</f>
        <v>60051</v>
      </c>
    </row>
    <row r="413" spans="1:8" ht="25.5" x14ac:dyDescent="0.2">
      <c r="A413" s="27" t="s">
        <v>20</v>
      </c>
      <c r="B413" s="23" t="s">
        <v>58</v>
      </c>
      <c r="C413" s="23" t="s">
        <v>32</v>
      </c>
      <c r="D413" s="8" t="s">
        <v>97</v>
      </c>
      <c r="E413" s="24" t="s">
        <v>12</v>
      </c>
      <c r="F413" s="25">
        <v>1</v>
      </c>
      <c r="G413" s="25">
        <v>1</v>
      </c>
      <c r="H413" s="25">
        <v>1</v>
      </c>
    </row>
    <row r="414" spans="1:8" x14ac:dyDescent="0.2">
      <c r="A414" s="27" t="s">
        <v>13</v>
      </c>
      <c r="B414" s="23" t="s">
        <v>58</v>
      </c>
      <c r="C414" s="23" t="s">
        <v>32</v>
      </c>
      <c r="D414" s="8" t="s">
        <v>97</v>
      </c>
      <c r="E414" s="23" t="s">
        <v>14</v>
      </c>
      <c r="F414" s="25">
        <f>55852-311</f>
        <v>55541</v>
      </c>
      <c r="G414" s="25">
        <f>58077-336</f>
        <v>57741</v>
      </c>
      <c r="H414" s="25">
        <f>60400-350</f>
        <v>60050</v>
      </c>
    </row>
    <row r="415" spans="1:8" ht="38.25" x14ac:dyDescent="0.2">
      <c r="A415" s="47" t="s">
        <v>342</v>
      </c>
      <c r="B415" s="8" t="s">
        <v>58</v>
      </c>
      <c r="C415" s="8" t="s">
        <v>32</v>
      </c>
      <c r="D415" s="8" t="s">
        <v>125</v>
      </c>
      <c r="E415" s="8"/>
      <c r="F415" s="9">
        <f>F416</f>
        <v>46184</v>
      </c>
      <c r="G415" s="9">
        <f t="shared" ref="G415:H415" si="57">G416</f>
        <v>30183</v>
      </c>
      <c r="H415" s="9">
        <f t="shared" si="57"/>
        <v>32581</v>
      </c>
    </row>
    <row r="416" spans="1:8" x14ac:dyDescent="0.2">
      <c r="A416" s="27" t="s">
        <v>13</v>
      </c>
      <c r="B416" s="23" t="s">
        <v>58</v>
      </c>
      <c r="C416" s="23" t="s">
        <v>32</v>
      </c>
      <c r="D416" s="23" t="s">
        <v>125</v>
      </c>
      <c r="E416" s="23" t="s">
        <v>14</v>
      </c>
      <c r="F416" s="25">
        <f>29411+16626+147</f>
        <v>46184</v>
      </c>
      <c r="G416" s="25">
        <f>30033+150</f>
        <v>30183</v>
      </c>
      <c r="H416" s="25">
        <f>32419+162</f>
        <v>32581</v>
      </c>
    </row>
    <row r="417" spans="1:13" ht="38.25" x14ac:dyDescent="0.2">
      <c r="A417" s="47" t="s">
        <v>342</v>
      </c>
      <c r="B417" s="8" t="s">
        <v>58</v>
      </c>
      <c r="C417" s="8" t="s">
        <v>32</v>
      </c>
      <c r="D417" s="8" t="s">
        <v>383</v>
      </c>
      <c r="E417" s="8"/>
      <c r="F417" s="9">
        <f>F418</f>
        <v>231</v>
      </c>
      <c r="G417" s="9">
        <f t="shared" ref="G417:H417" si="58">G418</f>
        <v>0</v>
      </c>
      <c r="H417" s="9">
        <f t="shared" si="58"/>
        <v>0</v>
      </c>
    </row>
    <row r="418" spans="1:13" s="26" customFormat="1" ht="25.5" x14ac:dyDescent="0.2">
      <c r="A418" s="27" t="s">
        <v>20</v>
      </c>
      <c r="B418" s="23" t="s">
        <v>58</v>
      </c>
      <c r="C418" s="23" t="s">
        <v>32</v>
      </c>
      <c r="D418" s="23" t="s">
        <v>383</v>
      </c>
      <c r="E418" s="24" t="s">
        <v>12</v>
      </c>
      <c r="F418" s="25">
        <v>231</v>
      </c>
      <c r="G418" s="25">
        <v>0</v>
      </c>
      <c r="H418" s="25">
        <v>0</v>
      </c>
      <c r="I418" s="13"/>
      <c r="J418" s="13"/>
      <c r="K418" s="13"/>
      <c r="L418" s="13"/>
      <c r="M418" s="13"/>
    </row>
    <row r="419" spans="1:13" ht="38.25" x14ac:dyDescent="0.2">
      <c r="A419" s="10" t="s">
        <v>340</v>
      </c>
      <c r="B419" s="8" t="s">
        <v>58</v>
      </c>
      <c r="C419" s="8" t="s">
        <v>32</v>
      </c>
      <c r="D419" s="8" t="s">
        <v>99</v>
      </c>
      <c r="E419" s="8"/>
      <c r="F419" s="9">
        <f>F421+F420</f>
        <v>28360</v>
      </c>
      <c r="G419" s="9">
        <f>G421+G420</f>
        <v>28360</v>
      </c>
      <c r="H419" s="9">
        <f>H421+H420</f>
        <v>28360</v>
      </c>
    </row>
    <row r="420" spans="1:13" ht="25.5" x14ac:dyDescent="0.2">
      <c r="A420" s="27" t="s">
        <v>20</v>
      </c>
      <c r="B420" s="23" t="s">
        <v>58</v>
      </c>
      <c r="C420" s="23" t="s">
        <v>32</v>
      </c>
      <c r="D420" s="23" t="s">
        <v>99</v>
      </c>
      <c r="E420" s="24" t="s">
        <v>12</v>
      </c>
      <c r="F420" s="25">
        <v>1</v>
      </c>
      <c r="G420" s="25">
        <v>1</v>
      </c>
      <c r="H420" s="25">
        <v>1</v>
      </c>
    </row>
    <row r="421" spans="1:13" x14ac:dyDescent="0.2">
      <c r="A421" s="27" t="s">
        <v>13</v>
      </c>
      <c r="B421" s="23" t="s">
        <v>58</v>
      </c>
      <c r="C421" s="23" t="s">
        <v>32</v>
      </c>
      <c r="D421" s="23" t="s">
        <v>99</v>
      </c>
      <c r="E421" s="23" t="s">
        <v>14</v>
      </c>
      <c r="F421" s="25">
        <v>28359</v>
      </c>
      <c r="G421" s="25">
        <v>28359</v>
      </c>
      <c r="H421" s="25">
        <v>28359</v>
      </c>
    </row>
    <row r="422" spans="1:13" x14ac:dyDescent="0.2">
      <c r="A422" s="14" t="s">
        <v>0</v>
      </c>
      <c r="B422" s="11" t="s">
        <v>58</v>
      </c>
      <c r="C422" s="11" t="s">
        <v>56</v>
      </c>
      <c r="D422" s="11"/>
      <c r="E422" s="11"/>
      <c r="F422" s="12">
        <f>F423+F426+F430+F432+F439+F435+F437+F443</f>
        <v>26363.5</v>
      </c>
      <c r="G422" s="12">
        <f t="shared" ref="G422:H422" si="59">G423+G426+G430+G432+G439+G435+G437+G443</f>
        <v>26363.5</v>
      </c>
      <c r="H422" s="12">
        <f t="shared" si="59"/>
        <v>26363.5</v>
      </c>
    </row>
    <row r="423" spans="1:13" x14ac:dyDescent="0.2">
      <c r="A423" s="10" t="s">
        <v>303</v>
      </c>
      <c r="B423" s="8" t="s">
        <v>58</v>
      </c>
      <c r="C423" s="8" t="s">
        <v>56</v>
      </c>
      <c r="D423" s="8" t="s">
        <v>304</v>
      </c>
      <c r="E423" s="8"/>
      <c r="F423" s="9">
        <f>F425+F424</f>
        <v>114.89999999999999</v>
      </c>
      <c r="G423" s="9">
        <f>G425+G424</f>
        <v>114.89999999999999</v>
      </c>
      <c r="H423" s="9">
        <f>H425+H424</f>
        <v>114.89999999999999</v>
      </c>
    </row>
    <row r="424" spans="1:13" ht="25.5" x14ac:dyDescent="0.2">
      <c r="A424" s="27" t="s">
        <v>20</v>
      </c>
      <c r="B424" s="23" t="s">
        <v>58</v>
      </c>
      <c r="C424" s="23" t="s">
        <v>56</v>
      </c>
      <c r="D424" s="23" t="s">
        <v>304</v>
      </c>
      <c r="E424" s="24" t="s">
        <v>12</v>
      </c>
      <c r="F424" s="25">
        <v>0.6</v>
      </c>
      <c r="G424" s="25">
        <v>0.6</v>
      </c>
      <c r="H424" s="25">
        <v>0.6</v>
      </c>
    </row>
    <row r="425" spans="1:13" x14ac:dyDescent="0.2">
      <c r="A425" s="27" t="s">
        <v>13</v>
      </c>
      <c r="B425" s="23" t="s">
        <v>58</v>
      </c>
      <c r="C425" s="23" t="s">
        <v>56</v>
      </c>
      <c r="D425" s="23" t="s">
        <v>304</v>
      </c>
      <c r="E425" s="23" t="s">
        <v>14</v>
      </c>
      <c r="F425" s="25">
        <v>114.3</v>
      </c>
      <c r="G425" s="25">
        <v>114.3</v>
      </c>
      <c r="H425" s="25">
        <v>114.3</v>
      </c>
    </row>
    <row r="426" spans="1:13" x14ac:dyDescent="0.2">
      <c r="A426" s="10" t="s">
        <v>306</v>
      </c>
      <c r="B426" s="8" t="s">
        <v>58</v>
      </c>
      <c r="C426" s="8" t="s">
        <v>56</v>
      </c>
      <c r="D426" s="8" t="s">
        <v>305</v>
      </c>
      <c r="E426" s="8"/>
      <c r="F426" s="9">
        <f>F427+F428+F429</f>
        <v>1369.1000000000001</v>
      </c>
      <c r="G426" s="9">
        <f>G427+G428+G429</f>
        <v>1369.1000000000001</v>
      </c>
      <c r="H426" s="9">
        <f>H427+H428+H429</f>
        <v>1369.1000000000001</v>
      </c>
    </row>
    <row r="427" spans="1:13" ht="25.5" x14ac:dyDescent="0.2">
      <c r="A427" s="27" t="s">
        <v>20</v>
      </c>
      <c r="B427" s="23" t="s">
        <v>58</v>
      </c>
      <c r="C427" s="23" t="s">
        <v>56</v>
      </c>
      <c r="D427" s="23" t="s">
        <v>305</v>
      </c>
      <c r="E427" s="23" t="s">
        <v>12</v>
      </c>
      <c r="F427" s="25">
        <f>2.2+80+325.2+450+20</f>
        <v>877.4</v>
      </c>
      <c r="G427" s="25">
        <f>2.2+80+325.2+450+20</f>
        <v>877.4</v>
      </c>
      <c r="H427" s="25">
        <f>2.2+80+325.2+450+20</f>
        <v>877.4</v>
      </c>
    </row>
    <row r="428" spans="1:13" x14ac:dyDescent="0.2">
      <c r="A428" s="27" t="s">
        <v>13</v>
      </c>
      <c r="B428" s="23" t="s">
        <v>58</v>
      </c>
      <c r="C428" s="23" t="s">
        <v>56</v>
      </c>
      <c r="D428" s="23" t="s">
        <v>305</v>
      </c>
      <c r="E428" s="24" t="s">
        <v>14</v>
      </c>
      <c r="F428" s="25">
        <f>429+32</f>
        <v>461</v>
      </c>
      <c r="G428" s="25">
        <f>429+32</f>
        <v>461</v>
      </c>
      <c r="H428" s="25">
        <f>429+32</f>
        <v>461</v>
      </c>
    </row>
    <row r="429" spans="1:13" x14ac:dyDescent="0.2">
      <c r="A429" s="27" t="s">
        <v>16</v>
      </c>
      <c r="B429" s="23" t="s">
        <v>58</v>
      </c>
      <c r="C429" s="23" t="s">
        <v>56</v>
      </c>
      <c r="D429" s="23" t="s">
        <v>305</v>
      </c>
      <c r="E429" s="23" t="s">
        <v>17</v>
      </c>
      <c r="F429" s="25">
        <f>30.7</f>
        <v>30.7</v>
      </c>
      <c r="G429" s="25">
        <f>30.7</f>
        <v>30.7</v>
      </c>
      <c r="H429" s="25">
        <f>30.7</f>
        <v>30.7</v>
      </c>
    </row>
    <row r="430" spans="1:13" x14ac:dyDescent="0.2">
      <c r="A430" s="10" t="s">
        <v>308</v>
      </c>
      <c r="B430" s="8" t="s">
        <v>58</v>
      </c>
      <c r="C430" s="8" t="s">
        <v>56</v>
      </c>
      <c r="D430" s="8" t="s">
        <v>307</v>
      </c>
      <c r="E430" s="8"/>
      <c r="F430" s="9">
        <f>F431</f>
        <v>818</v>
      </c>
      <c r="G430" s="9">
        <f>G431</f>
        <v>818</v>
      </c>
      <c r="H430" s="9">
        <f>H431</f>
        <v>818</v>
      </c>
    </row>
    <row r="431" spans="1:13" ht="25.5" x14ac:dyDescent="0.2">
      <c r="A431" s="27" t="s">
        <v>215</v>
      </c>
      <c r="B431" s="23" t="s">
        <v>58</v>
      </c>
      <c r="C431" s="23" t="s">
        <v>56</v>
      </c>
      <c r="D431" s="23" t="s">
        <v>307</v>
      </c>
      <c r="E431" s="23" t="s">
        <v>8</v>
      </c>
      <c r="F431" s="25">
        <v>818</v>
      </c>
      <c r="G431" s="25">
        <v>818</v>
      </c>
      <c r="H431" s="25">
        <v>818</v>
      </c>
    </row>
    <row r="432" spans="1:13" x14ac:dyDescent="0.2">
      <c r="A432" s="10" t="s">
        <v>309</v>
      </c>
      <c r="B432" s="8" t="s">
        <v>58</v>
      </c>
      <c r="C432" s="8" t="s">
        <v>56</v>
      </c>
      <c r="D432" s="8" t="s">
        <v>310</v>
      </c>
      <c r="E432" s="8"/>
      <c r="F432" s="9">
        <f>F434+F433</f>
        <v>1264.7</v>
      </c>
      <c r="G432" s="9">
        <f t="shared" ref="G432:H432" si="60">G434+G433</f>
        <v>1264.7</v>
      </c>
      <c r="H432" s="9">
        <f t="shared" si="60"/>
        <v>1264.7</v>
      </c>
    </row>
    <row r="433" spans="1:8" ht="25.5" x14ac:dyDescent="0.2">
      <c r="A433" s="27" t="s">
        <v>20</v>
      </c>
      <c r="B433" s="23" t="s">
        <v>58</v>
      </c>
      <c r="C433" s="23" t="s">
        <v>56</v>
      </c>
      <c r="D433" s="23" t="s">
        <v>310</v>
      </c>
      <c r="E433" s="23" t="s">
        <v>12</v>
      </c>
      <c r="F433" s="25">
        <v>450</v>
      </c>
      <c r="G433" s="25">
        <v>450</v>
      </c>
      <c r="H433" s="25">
        <v>450</v>
      </c>
    </row>
    <row r="434" spans="1:8" x14ac:dyDescent="0.2">
      <c r="A434" s="27" t="s">
        <v>13</v>
      </c>
      <c r="B434" s="23" t="s">
        <v>58</v>
      </c>
      <c r="C434" s="23" t="s">
        <v>56</v>
      </c>
      <c r="D434" s="23" t="s">
        <v>310</v>
      </c>
      <c r="E434" s="23" t="s">
        <v>14</v>
      </c>
      <c r="F434" s="25">
        <v>814.7</v>
      </c>
      <c r="G434" s="25">
        <v>814.7</v>
      </c>
      <c r="H434" s="25">
        <v>814.7</v>
      </c>
    </row>
    <row r="435" spans="1:8" ht="25.5" x14ac:dyDescent="0.2">
      <c r="A435" s="10" t="s">
        <v>311</v>
      </c>
      <c r="B435" s="8" t="s">
        <v>58</v>
      </c>
      <c r="C435" s="8" t="s">
        <v>56</v>
      </c>
      <c r="D435" s="8" t="s">
        <v>312</v>
      </c>
      <c r="E435" s="8"/>
      <c r="F435" s="9">
        <f>F436</f>
        <v>2706.7</v>
      </c>
      <c r="G435" s="9">
        <f>G436</f>
        <v>2706.7</v>
      </c>
      <c r="H435" s="9">
        <f>H436</f>
        <v>2706.7</v>
      </c>
    </row>
    <row r="436" spans="1:8" x14ac:dyDescent="0.2">
      <c r="A436" s="27" t="s">
        <v>13</v>
      </c>
      <c r="B436" s="23" t="s">
        <v>58</v>
      </c>
      <c r="C436" s="23" t="s">
        <v>56</v>
      </c>
      <c r="D436" s="23" t="s">
        <v>312</v>
      </c>
      <c r="E436" s="23" t="s">
        <v>14</v>
      </c>
      <c r="F436" s="25">
        <v>2706.7</v>
      </c>
      <c r="G436" s="25">
        <v>2706.7</v>
      </c>
      <c r="H436" s="25">
        <v>2706.7</v>
      </c>
    </row>
    <row r="437" spans="1:8" ht="63.75" x14ac:dyDescent="0.2">
      <c r="A437" s="52" t="s">
        <v>313</v>
      </c>
      <c r="B437" s="50" t="s">
        <v>58</v>
      </c>
      <c r="C437" s="8" t="s">
        <v>56</v>
      </c>
      <c r="D437" s="8" t="s">
        <v>314</v>
      </c>
      <c r="E437" s="8"/>
      <c r="F437" s="9">
        <f>F438</f>
        <v>78.099999999999994</v>
      </c>
      <c r="G437" s="9">
        <f>G438</f>
        <v>78.099999999999994</v>
      </c>
      <c r="H437" s="9">
        <f>H438</f>
        <v>78.099999999999994</v>
      </c>
    </row>
    <row r="438" spans="1:8" x14ac:dyDescent="0.2">
      <c r="A438" s="51" t="s">
        <v>13</v>
      </c>
      <c r="B438" s="23" t="s">
        <v>58</v>
      </c>
      <c r="C438" s="23" t="s">
        <v>56</v>
      </c>
      <c r="D438" s="23" t="s">
        <v>314</v>
      </c>
      <c r="E438" s="23" t="s">
        <v>14</v>
      </c>
      <c r="F438" s="25">
        <v>78.099999999999994</v>
      </c>
      <c r="G438" s="25">
        <v>78.099999999999994</v>
      </c>
      <c r="H438" s="25">
        <v>78.099999999999994</v>
      </c>
    </row>
    <row r="439" spans="1:8" ht="25.5" x14ac:dyDescent="0.2">
      <c r="A439" s="10" t="s">
        <v>315</v>
      </c>
      <c r="B439" s="8" t="s">
        <v>58</v>
      </c>
      <c r="C439" s="8" t="s">
        <v>56</v>
      </c>
      <c r="D439" s="8" t="s">
        <v>91</v>
      </c>
      <c r="E439" s="8"/>
      <c r="F439" s="9">
        <f>F440+F441+F442</f>
        <v>19783</v>
      </c>
      <c r="G439" s="9">
        <f>G440+G441+G442</f>
        <v>19783</v>
      </c>
      <c r="H439" s="9">
        <f>H440+H441+H442</f>
        <v>19783</v>
      </c>
    </row>
    <row r="440" spans="1:8" ht="51" x14ac:dyDescent="0.2">
      <c r="A440" s="22" t="s">
        <v>9</v>
      </c>
      <c r="B440" s="23" t="s">
        <v>58</v>
      </c>
      <c r="C440" s="23" t="s">
        <v>56</v>
      </c>
      <c r="D440" s="23" t="s">
        <v>91</v>
      </c>
      <c r="E440" s="24" t="s">
        <v>10</v>
      </c>
      <c r="F440" s="25">
        <f>18510.7+178</f>
        <v>18688.7</v>
      </c>
      <c r="G440" s="25">
        <f>18510.7+178</f>
        <v>18688.7</v>
      </c>
      <c r="H440" s="25">
        <f>18510.7+178</f>
        <v>18688.7</v>
      </c>
    </row>
    <row r="441" spans="1:8" ht="25.5" x14ac:dyDescent="0.2">
      <c r="A441" s="27" t="s">
        <v>20</v>
      </c>
      <c r="B441" s="23" t="s">
        <v>58</v>
      </c>
      <c r="C441" s="23" t="s">
        <v>56</v>
      </c>
      <c r="D441" s="23" t="s">
        <v>91</v>
      </c>
      <c r="E441" s="24" t="s">
        <v>12</v>
      </c>
      <c r="F441" s="25">
        <v>1090.3</v>
      </c>
      <c r="G441" s="25">
        <v>1090.3</v>
      </c>
      <c r="H441" s="25">
        <v>1090.3</v>
      </c>
    </row>
    <row r="442" spans="1:8" x14ac:dyDescent="0.2">
      <c r="A442" s="27" t="s">
        <v>16</v>
      </c>
      <c r="B442" s="23" t="s">
        <v>58</v>
      </c>
      <c r="C442" s="23" t="s">
        <v>56</v>
      </c>
      <c r="D442" s="23" t="s">
        <v>91</v>
      </c>
      <c r="E442" s="23" t="s">
        <v>17</v>
      </c>
      <c r="F442" s="25">
        <v>4</v>
      </c>
      <c r="G442" s="25">
        <v>4</v>
      </c>
      <c r="H442" s="25">
        <v>4</v>
      </c>
    </row>
    <row r="443" spans="1:8" x14ac:dyDescent="0.2">
      <c r="A443" s="10" t="s">
        <v>272</v>
      </c>
      <c r="B443" s="6" t="s">
        <v>58</v>
      </c>
      <c r="C443" s="8" t="s">
        <v>56</v>
      </c>
      <c r="D443" s="6" t="s">
        <v>273</v>
      </c>
      <c r="E443" s="8"/>
      <c r="F443" s="9">
        <f>F445+F444</f>
        <v>229</v>
      </c>
      <c r="G443" s="9">
        <f t="shared" ref="G443:H443" si="61">G445+G444</f>
        <v>229</v>
      </c>
      <c r="H443" s="9">
        <f t="shared" si="61"/>
        <v>229</v>
      </c>
    </row>
    <row r="444" spans="1:8" ht="25.5" x14ac:dyDescent="0.2">
      <c r="A444" s="22" t="s">
        <v>11</v>
      </c>
      <c r="B444" s="23" t="s">
        <v>58</v>
      </c>
      <c r="C444" s="23" t="s">
        <v>56</v>
      </c>
      <c r="D444" s="23" t="s">
        <v>273</v>
      </c>
      <c r="E444" s="23" t="s">
        <v>12</v>
      </c>
      <c r="F444" s="9">
        <v>129</v>
      </c>
      <c r="G444" s="9">
        <v>129</v>
      </c>
      <c r="H444" s="9">
        <v>129</v>
      </c>
    </row>
    <row r="445" spans="1:8" x14ac:dyDescent="0.2">
      <c r="A445" s="27" t="s">
        <v>13</v>
      </c>
      <c r="B445" s="23" t="s">
        <v>58</v>
      </c>
      <c r="C445" s="23" t="s">
        <v>56</v>
      </c>
      <c r="D445" s="23" t="s">
        <v>273</v>
      </c>
      <c r="E445" s="23" t="s">
        <v>14</v>
      </c>
      <c r="F445" s="9">
        <v>100</v>
      </c>
      <c r="G445" s="9">
        <v>100</v>
      </c>
      <c r="H445" s="9">
        <v>100</v>
      </c>
    </row>
    <row r="446" spans="1:8" ht="15.75" x14ac:dyDescent="0.25">
      <c r="A446" s="35" t="s">
        <v>57</v>
      </c>
      <c r="B446" s="33" t="s">
        <v>35</v>
      </c>
      <c r="C446" s="33" t="s">
        <v>26</v>
      </c>
      <c r="D446" s="33"/>
      <c r="E446" s="33"/>
      <c r="F446" s="34">
        <f>F447+F458+F461</f>
        <v>36508.700000000004</v>
      </c>
      <c r="G446" s="34">
        <f t="shared" ref="G446:H446" si="62">G447+G458+G461</f>
        <v>31208.700000000004</v>
      </c>
      <c r="H446" s="34">
        <f t="shared" si="62"/>
        <v>31208.700000000004</v>
      </c>
    </row>
    <row r="447" spans="1:8" x14ac:dyDescent="0.2">
      <c r="A447" s="14" t="s">
        <v>65</v>
      </c>
      <c r="B447" s="11" t="s">
        <v>35</v>
      </c>
      <c r="C447" s="11" t="s">
        <v>25</v>
      </c>
      <c r="D447" s="11"/>
      <c r="E447" s="11"/>
      <c r="F447" s="12">
        <f>F452+F454+F448+F456+F450</f>
        <v>35242.9</v>
      </c>
      <c r="G447" s="12">
        <f t="shared" ref="G447:H447" si="63">G452+G454+G448+G456+G450</f>
        <v>29942.9</v>
      </c>
      <c r="H447" s="12">
        <f t="shared" si="63"/>
        <v>29942.9</v>
      </c>
    </row>
    <row r="448" spans="1:8" s="7" customFormat="1" ht="25.5" x14ac:dyDescent="0.2">
      <c r="A448" s="5" t="s">
        <v>178</v>
      </c>
      <c r="B448" s="8" t="s">
        <v>35</v>
      </c>
      <c r="C448" s="8" t="s">
        <v>25</v>
      </c>
      <c r="D448" s="8" t="s">
        <v>177</v>
      </c>
      <c r="E448" s="1"/>
      <c r="F448" s="2">
        <f>F449</f>
        <v>20</v>
      </c>
      <c r="G448" s="2">
        <f>G449</f>
        <v>20</v>
      </c>
      <c r="H448" s="2">
        <f>H449</f>
        <v>20</v>
      </c>
    </row>
    <row r="449" spans="1:8" s="26" customFormat="1" ht="25.5" x14ac:dyDescent="0.2">
      <c r="A449" s="27" t="s">
        <v>215</v>
      </c>
      <c r="B449" s="23" t="s">
        <v>35</v>
      </c>
      <c r="C449" s="23" t="s">
        <v>25</v>
      </c>
      <c r="D449" s="23" t="s">
        <v>177</v>
      </c>
      <c r="E449" s="23" t="s">
        <v>8</v>
      </c>
      <c r="F449" s="25">
        <v>20</v>
      </c>
      <c r="G449" s="25">
        <v>20</v>
      </c>
      <c r="H449" s="25">
        <v>20</v>
      </c>
    </row>
    <row r="450" spans="1:8" x14ac:dyDescent="0.2">
      <c r="A450" s="10" t="s">
        <v>205</v>
      </c>
      <c r="B450" s="8" t="s">
        <v>35</v>
      </c>
      <c r="C450" s="8" t="s">
        <v>25</v>
      </c>
      <c r="D450" s="23" t="s">
        <v>204</v>
      </c>
      <c r="E450" s="8"/>
      <c r="F450" s="9">
        <f>F451</f>
        <v>5300</v>
      </c>
      <c r="G450" s="9">
        <f>G451</f>
        <v>0</v>
      </c>
      <c r="H450" s="9">
        <f>H451</f>
        <v>0</v>
      </c>
    </row>
    <row r="451" spans="1:8" s="26" customFormat="1" ht="25.5" x14ac:dyDescent="0.2">
      <c r="A451" s="27" t="s">
        <v>74</v>
      </c>
      <c r="B451" s="23" t="s">
        <v>35</v>
      </c>
      <c r="C451" s="23" t="s">
        <v>25</v>
      </c>
      <c r="D451" s="23" t="s">
        <v>204</v>
      </c>
      <c r="E451" s="23" t="s">
        <v>15</v>
      </c>
      <c r="F451" s="25">
        <v>5300</v>
      </c>
      <c r="G451" s="25">
        <v>0</v>
      </c>
      <c r="H451" s="25">
        <v>0</v>
      </c>
    </row>
    <row r="452" spans="1:8" ht="24.75" customHeight="1" x14ac:dyDescent="0.2">
      <c r="A452" s="10" t="s">
        <v>317</v>
      </c>
      <c r="B452" s="8" t="s">
        <v>35</v>
      </c>
      <c r="C452" s="8" t="s">
        <v>25</v>
      </c>
      <c r="D452" s="8" t="s">
        <v>316</v>
      </c>
      <c r="E452" s="8"/>
      <c r="F452" s="9">
        <f>F453</f>
        <v>8956.3000000000011</v>
      </c>
      <c r="G452" s="9">
        <f t="shared" ref="G452:H452" si="64">G453</f>
        <v>8956.3000000000011</v>
      </c>
      <c r="H452" s="9">
        <f t="shared" si="64"/>
        <v>8956.3000000000011</v>
      </c>
    </row>
    <row r="453" spans="1:8" ht="25.5" x14ac:dyDescent="0.2">
      <c r="A453" s="27" t="s">
        <v>215</v>
      </c>
      <c r="B453" s="23" t="s">
        <v>35</v>
      </c>
      <c r="C453" s="23" t="s">
        <v>25</v>
      </c>
      <c r="D453" s="23" t="s">
        <v>316</v>
      </c>
      <c r="E453" s="23" t="s">
        <v>8</v>
      </c>
      <c r="F453" s="25">
        <f>8885.6+70.7</f>
        <v>8956.3000000000011</v>
      </c>
      <c r="G453" s="25">
        <f>8885.6+70.7</f>
        <v>8956.3000000000011</v>
      </c>
      <c r="H453" s="25">
        <f>8885.6+70.7</f>
        <v>8956.3000000000011</v>
      </c>
    </row>
    <row r="454" spans="1:8" ht="38.25" x14ac:dyDescent="0.2">
      <c r="A454" s="10" t="s">
        <v>319</v>
      </c>
      <c r="B454" s="8" t="s">
        <v>35</v>
      </c>
      <c r="C454" s="8" t="s">
        <v>25</v>
      </c>
      <c r="D454" s="8" t="s">
        <v>318</v>
      </c>
      <c r="E454" s="8"/>
      <c r="F454" s="9">
        <f>F455</f>
        <v>150</v>
      </c>
      <c r="G454" s="9">
        <f>G455</f>
        <v>150</v>
      </c>
      <c r="H454" s="9">
        <f>H455</f>
        <v>150</v>
      </c>
    </row>
    <row r="455" spans="1:8" ht="25.5" x14ac:dyDescent="0.2">
      <c r="A455" s="27" t="s">
        <v>20</v>
      </c>
      <c r="B455" s="23" t="s">
        <v>35</v>
      </c>
      <c r="C455" s="23" t="s">
        <v>25</v>
      </c>
      <c r="D455" s="23" t="s">
        <v>318</v>
      </c>
      <c r="E455" s="24" t="s">
        <v>12</v>
      </c>
      <c r="F455" s="25">
        <v>150</v>
      </c>
      <c r="G455" s="25">
        <v>150</v>
      </c>
      <c r="H455" s="25">
        <v>150</v>
      </c>
    </row>
    <row r="456" spans="1:8" ht="25.5" x14ac:dyDescent="0.2">
      <c r="A456" s="10" t="s">
        <v>365</v>
      </c>
      <c r="B456" s="8" t="s">
        <v>35</v>
      </c>
      <c r="C456" s="8" t="s">
        <v>25</v>
      </c>
      <c r="D456" s="8" t="s">
        <v>366</v>
      </c>
      <c r="E456" s="8"/>
      <c r="F456" s="9">
        <f>F457</f>
        <v>20816.600000000002</v>
      </c>
      <c r="G456" s="9">
        <f>G457</f>
        <v>20816.600000000002</v>
      </c>
      <c r="H456" s="9">
        <f>H457</f>
        <v>20816.600000000002</v>
      </c>
    </row>
    <row r="457" spans="1:8" s="26" customFormat="1" ht="25.5" x14ac:dyDescent="0.2">
      <c r="A457" s="27" t="s">
        <v>215</v>
      </c>
      <c r="B457" s="23" t="s">
        <v>35</v>
      </c>
      <c r="C457" s="23" t="s">
        <v>25</v>
      </c>
      <c r="D457" s="23" t="s">
        <v>366</v>
      </c>
      <c r="E457" s="24" t="s">
        <v>8</v>
      </c>
      <c r="F457" s="25">
        <f>20716.7+99.9</f>
        <v>20816.600000000002</v>
      </c>
      <c r="G457" s="25">
        <f>20716.7+99.9</f>
        <v>20816.600000000002</v>
      </c>
      <c r="H457" s="25">
        <f>20716.7+99.9</f>
        <v>20816.600000000002</v>
      </c>
    </row>
    <row r="458" spans="1:8" x14ac:dyDescent="0.2">
      <c r="A458" s="14" t="s">
        <v>66</v>
      </c>
      <c r="B458" s="11" t="s">
        <v>35</v>
      </c>
      <c r="C458" s="11" t="s">
        <v>28</v>
      </c>
      <c r="D458" s="11"/>
      <c r="E458" s="11"/>
      <c r="F458" s="12">
        <f t="shared" ref="F458:H459" si="65">F459</f>
        <v>281.89999999999998</v>
      </c>
      <c r="G458" s="12">
        <f t="shared" si="65"/>
        <v>281.89999999999998</v>
      </c>
      <c r="H458" s="12">
        <f t="shared" si="65"/>
        <v>281.89999999999998</v>
      </c>
    </row>
    <row r="459" spans="1:8" ht="25.5" x14ac:dyDescent="0.2">
      <c r="A459" s="10" t="s">
        <v>327</v>
      </c>
      <c r="B459" s="8" t="s">
        <v>35</v>
      </c>
      <c r="C459" s="8" t="s">
        <v>28</v>
      </c>
      <c r="D459" s="8" t="s">
        <v>328</v>
      </c>
      <c r="E459" s="8"/>
      <c r="F459" s="9">
        <f t="shared" si="65"/>
        <v>281.89999999999998</v>
      </c>
      <c r="G459" s="9">
        <f t="shared" si="65"/>
        <v>281.89999999999998</v>
      </c>
      <c r="H459" s="9">
        <f t="shared" si="65"/>
        <v>281.89999999999998</v>
      </c>
    </row>
    <row r="460" spans="1:8" ht="25.5" x14ac:dyDescent="0.2">
      <c r="A460" s="27" t="s">
        <v>20</v>
      </c>
      <c r="B460" s="23" t="s">
        <v>35</v>
      </c>
      <c r="C460" s="23" t="s">
        <v>28</v>
      </c>
      <c r="D460" s="23" t="s">
        <v>328</v>
      </c>
      <c r="E460" s="24" t="s">
        <v>12</v>
      </c>
      <c r="F460" s="25">
        <v>281.89999999999998</v>
      </c>
      <c r="G460" s="25">
        <v>281.89999999999998</v>
      </c>
      <c r="H460" s="25">
        <v>281.89999999999998</v>
      </c>
    </row>
    <row r="461" spans="1:8" x14ac:dyDescent="0.2">
      <c r="A461" s="14" t="s">
        <v>6</v>
      </c>
      <c r="B461" s="11" t="s">
        <v>35</v>
      </c>
      <c r="C461" s="11" t="s">
        <v>44</v>
      </c>
      <c r="D461" s="11"/>
      <c r="E461" s="11"/>
      <c r="F461" s="12">
        <f>F462</f>
        <v>983.9</v>
      </c>
      <c r="G461" s="12">
        <f>G462</f>
        <v>983.9</v>
      </c>
      <c r="H461" s="12">
        <f>H462</f>
        <v>983.9</v>
      </c>
    </row>
    <row r="462" spans="1:8" ht="25.5" x14ac:dyDescent="0.2">
      <c r="A462" s="10" t="s">
        <v>317</v>
      </c>
      <c r="B462" s="8" t="s">
        <v>35</v>
      </c>
      <c r="C462" s="8" t="s">
        <v>44</v>
      </c>
      <c r="D462" s="8" t="s">
        <v>320</v>
      </c>
      <c r="E462" s="8"/>
      <c r="F462" s="9">
        <f>F463+F464</f>
        <v>983.9</v>
      </c>
      <c r="G462" s="9">
        <f>G463+G464</f>
        <v>983.9</v>
      </c>
      <c r="H462" s="9">
        <f>H463+H464</f>
        <v>983.9</v>
      </c>
    </row>
    <row r="463" spans="1:8" ht="51" x14ac:dyDescent="0.2">
      <c r="A463" s="22" t="s">
        <v>9</v>
      </c>
      <c r="B463" s="23" t="s">
        <v>35</v>
      </c>
      <c r="C463" s="23" t="s">
        <v>44</v>
      </c>
      <c r="D463" s="23" t="s">
        <v>320</v>
      </c>
      <c r="E463" s="24" t="s">
        <v>10</v>
      </c>
      <c r="F463" s="25">
        <f>717.6+216.7+9</f>
        <v>943.3</v>
      </c>
      <c r="G463" s="25">
        <f>717.6+216.7+9</f>
        <v>943.3</v>
      </c>
      <c r="H463" s="25">
        <f>717.6+216.7+9</f>
        <v>943.3</v>
      </c>
    </row>
    <row r="464" spans="1:8" ht="25.5" x14ac:dyDescent="0.2">
      <c r="A464" s="27" t="s">
        <v>20</v>
      </c>
      <c r="B464" s="23" t="s">
        <v>35</v>
      </c>
      <c r="C464" s="23" t="s">
        <v>44</v>
      </c>
      <c r="D464" s="23" t="s">
        <v>320</v>
      </c>
      <c r="E464" s="24" t="s">
        <v>12</v>
      </c>
      <c r="F464" s="25">
        <v>40.6</v>
      </c>
      <c r="G464" s="25">
        <v>40.6</v>
      </c>
      <c r="H464" s="25">
        <v>40.6</v>
      </c>
    </row>
    <row r="465" spans="1:15" ht="31.5" x14ac:dyDescent="0.25">
      <c r="A465" s="35" t="s">
        <v>34</v>
      </c>
      <c r="B465" s="33" t="s">
        <v>67</v>
      </c>
      <c r="C465" s="33" t="s">
        <v>26</v>
      </c>
      <c r="D465" s="33"/>
      <c r="E465" s="33"/>
      <c r="F465" s="34">
        <f>F466</f>
        <v>3454.1</v>
      </c>
      <c r="G465" s="34">
        <f t="shared" ref="G465:H467" si="66">G466</f>
        <v>3454.1</v>
      </c>
      <c r="H465" s="34">
        <f t="shared" si="66"/>
        <v>3454.1</v>
      </c>
    </row>
    <row r="466" spans="1:15" ht="25.5" x14ac:dyDescent="0.2">
      <c r="A466" s="14" t="s">
        <v>68</v>
      </c>
      <c r="B466" s="11" t="s">
        <v>67</v>
      </c>
      <c r="C466" s="11" t="s">
        <v>25</v>
      </c>
      <c r="D466" s="11"/>
      <c r="E466" s="11"/>
      <c r="F466" s="12">
        <f>F467</f>
        <v>3454.1</v>
      </c>
      <c r="G466" s="12">
        <f t="shared" si="66"/>
        <v>3454.1</v>
      </c>
      <c r="H466" s="12">
        <f t="shared" si="66"/>
        <v>3454.1</v>
      </c>
    </row>
    <row r="467" spans="1:15" ht="25.5" x14ac:dyDescent="0.2">
      <c r="A467" s="10" t="s">
        <v>322</v>
      </c>
      <c r="B467" s="8" t="s">
        <v>67</v>
      </c>
      <c r="C467" s="8" t="s">
        <v>25</v>
      </c>
      <c r="D467" s="8" t="s">
        <v>321</v>
      </c>
      <c r="E467" s="8"/>
      <c r="F467" s="9">
        <f>F468</f>
        <v>3454.1</v>
      </c>
      <c r="G467" s="9">
        <f t="shared" si="66"/>
        <v>3454.1</v>
      </c>
      <c r="H467" s="9">
        <f t="shared" si="66"/>
        <v>3454.1</v>
      </c>
    </row>
    <row r="468" spans="1:15" x14ac:dyDescent="0.2">
      <c r="A468" s="27" t="s">
        <v>19</v>
      </c>
      <c r="B468" s="23" t="s">
        <v>67</v>
      </c>
      <c r="C468" s="23" t="s">
        <v>25</v>
      </c>
      <c r="D468" s="23" t="s">
        <v>321</v>
      </c>
      <c r="E468" s="23" t="s">
        <v>18</v>
      </c>
      <c r="F468" s="25">
        <v>3454.1</v>
      </c>
      <c r="G468" s="25">
        <v>3454.1</v>
      </c>
      <c r="H468" s="25">
        <v>3454.1</v>
      </c>
    </row>
    <row r="469" spans="1:15" x14ac:dyDescent="0.2">
      <c r="A469" s="10" t="s">
        <v>374</v>
      </c>
      <c r="B469" s="8" t="s">
        <v>375</v>
      </c>
      <c r="C469" s="8"/>
      <c r="D469" s="8"/>
      <c r="E469" s="8"/>
      <c r="F469" s="9"/>
      <c r="G469" s="9">
        <f t="shared" ref="G469:H471" si="67">G470</f>
        <v>19446.400000000001</v>
      </c>
      <c r="H469" s="9">
        <f t="shared" si="67"/>
        <v>40381.799999999996</v>
      </c>
    </row>
    <row r="470" spans="1:15" x14ac:dyDescent="0.2">
      <c r="A470" s="10" t="s">
        <v>374</v>
      </c>
      <c r="B470" s="8" t="s">
        <v>375</v>
      </c>
      <c r="C470" s="6" t="s">
        <v>375</v>
      </c>
      <c r="D470" s="8"/>
      <c r="E470" s="8"/>
      <c r="F470" s="9"/>
      <c r="G470" s="9">
        <f t="shared" si="67"/>
        <v>19446.400000000001</v>
      </c>
      <c r="H470" s="9">
        <f t="shared" si="67"/>
        <v>40381.799999999996</v>
      </c>
    </row>
    <row r="471" spans="1:15" x14ac:dyDescent="0.2">
      <c r="A471" s="10" t="s">
        <v>374</v>
      </c>
      <c r="B471" s="8" t="s">
        <v>375</v>
      </c>
      <c r="C471" s="8" t="s">
        <v>375</v>
      </c>
      <c r="D471" s="8" t="s">
        <v>376</v>
      </c>
      <c r="E471" s="8"/>
      <c r="F471" s="9"/>
      <c r="G471" s="9">
        <f t="shared" si="67"/>
        <v>19446.400000000001</v>
      </c>
      <c r="H471" s="9">
        <f t="shared" si="67"/>
        <v>40381.799999999996</v>
      </c>
    </row>
    <row r="472" spans="1:15" s="26" customFormat="1" x14ac:dyDescent="0.2">
      <c r="A472" s="27" t="s">
        <v>374</v>
      </c>
      <c r="B472" s="23" t="s">
        <v>375</v>
      </c>
      <c r="C472" s="23" t="s">
        <v>375</v>
      </c>
      <c r="D472" s="8" t="s">
        <v>376</v>
      </c>
      <c r="E472" s="23" t="s">
        <v>17</v>
      </c>
      <c r="F472" s="25">
        <v>0</v>
      </c>
      <c r="G472" s="25">
        <f>19136.9+309.5</f>
        <v>19446.400000000001</v>
      </c>
      <c r="H472" s="25">
        <f>39722.6+659.2</f>
        <v>40381.799999999996</v>
      </c>
      <c r="J472" s="13"/>
      <c r="K472" s="13"/>
      <c r="L472" s="13"/>
      <c r="M472" s="13"/>
      <c r="N472" s="13"/>
      <c r="O472" s="13"/>
    </row>
    <row r="473" spans="1:15" ht="15.75" x14ac:dyDescent="0.25">
      <c r="A473" s="35" t="s">
        <v>1</v>
      </c>
      <c r="B473" s="33"/>
      <c r="C473" s="33"/>
      <c r="D473" s="33"/>
      <c r="E473" s="33"/>
      <c r="F473" s="34">
        <f>F465+F446+F292+F270+F173+F123+F103+F89+F10</f>
        <v>2619531.3999999994</v>
      </c>
      <c r="G473" s="34">
        <f>G465+G446+G292+G270+G173+G123+G103+G89+G10+G469</f>
        <v>2338074.5999999996</v>
      </c>
      <c r="H473" s="34">
        <f>H465+H446+H292+H270+H173+H123+H103+H89+H10+H469</f>
        <v>2308087.0999999996</v>
      </c>
      <c r="I473" s="44"/>
    </row>
    <row r="474" spans="1:15" ht="15.75" x14ac:dyDescent="0.2">
      <c r="A474" s="60" t="s">
        <v>2</v>
      </c>
      <c r="B474" s="61"/>
      <c r="C474" s="61"/>
      <c r="D474" s="61"/>
      <c r="E474" s="61"/>
      <c r="F474" s="53">
        <v>35594.6</v>
      </c>
      <c r="G474" s="53">
        <v>35271.4</v>
      </c>
      <c r="H474" s="53">
        <v>35992.800000000003</v>
      </c>
    </row>
    <row r="475" spans="1:15" ht="0.75" customHeight="1" x14ac:dyDescent="0.2">
      <c r="A475" s="29"/>
      <c r="B475" s="30"/>
      <c r="C475" s="30"/>
      <c r="D475" s="30"/>
      <c r="E475" s="30"/>
      <c r="F475" s="49">
        <f>F473-[1]первоначальный!$G$603</f>
        <v>112482.99999999953</v>
      </c>
      <c r="G475" s="49">
        <f>G473-[1]первоначальный!$H$603</f>
        <v>96298.399999999441</v>
      </c>
      <c r="H475" s="49">
        <f>H473-[1]первоначальный!$I$603</f>
        <v>96765.499999999534</v>
      </c>
    </row>
    <row r="476" spans="1:15" ht="9.75" hidden="1" customHeight="1" x14ac:dyDescent="0.2">
      <c r="A476" s="29"/>
      <c r="B476" s="30"/>
      <c r="C476" s="30"/>
      <c r="D476" s="30"/>
      <c r="E476" s="30"/>
      <c r="F476" s="42"/>
      <c r="G476" s="42"/>
      <c r="H476" s="42"/>
    </row>
    <row r="477" spans="1:15" hidden="1" x14ac:dyDescent="0.2">
      <c r="A477" s="29"/>
      <c r="B477" s="30"/>
      <c r="C477" s="30"/>
      <c r="D477" s="30"/>
      <c r="E477" s="30"/>
    </row>
    <row r="478" spans="1:15" hidden="1" x14ac:dyDescent="0.2">
      <c r="A478" s="29"/>
      <c r="B478" s="30"/>
      <c r="C478" s="30"/>
      <c r="D478" s="30"/>
      <c r="E478" s="30"/>
      <c r="F478" s="42">
        <f>F473-'[2]первоначальный 2 с субс'!$G$530</f>
        <v>0</v>
      </c>
      <c r="G478" s="42">
        <f>G473-'[2]первоначальный 2 с субс'!$H$530</f>
        <v>0</v>
      </c>
      <c r="H478" s="42">
        <f>H473-'[2]первоначальный 2 с субс'!$I$530</f>
        <v>0</v>
      </c>
    </row>
    <row r="479" spans="1:15" ht="61.5" customHeight="1" x14ac:dyDescent="0.2">
      <c r="A479" s="36" t="s">
        <v>72</v>
      </c>
      <c r="F479" s="42"/>
      <c r="G479" s="42"/>
      <c r="H479" s="42" t="s">
        <v>77</v>
      </c>
    </row>
    <row r="482" spans="2:8" x14ac:dyDescent="0.2">
      <c r="F482" s="42"/>
      <c r="G482" s="42"/>
      <c r="H482" s="42"/>
    </row>
    <row r="483" spans="2:8" x14ac:dyDescent="0.2">
      <c r="F483" s="42"/>
      <c r="G483" s="42"/>
      <c r="H483" s="42"/>
    </row>
    <row r="485" spans="2:8" x14ac:dyDescent="0.2">
      <c r="F485" s="42"/>
      <c r="G485" s="42"/>
      <c r="H485" s="42"/>
    </row>
    <row r="490" spans="2:8" x14ac:dyDescent="0.2">
      <c r="B490" s="13"/>
      <c r="C490" s="13"/>
      <c r="D490" s="13"/>
      <c r="E490" s="13"/>
      <c r="F490" s="13"/>
      <c r="G490" s="13"/>
      <c r="H490" s="13"/>
    </row>
    <row r="491" spans="2:8" x14ac:dyDescent="0.2">
      <c r="B491" s="13"/>
      <c r="C491" s="13"/>
      <c r="D491" s="13"/>
      <c r="E491" s="13"/>
      <c r="F491" s="13"/>
      <c r="G491" s="13"/>
      <c r="H491" s="13"/>
    </row>
    <row r="492" spans="2:8" x14ac:dyDescent="0.2">
      <c r="B492" s="13"/>
      <c r="C492" s="13"/>
      <c r="D492" s="13"/>
      <c r="E492" s="13"/>
      <c r="F492" s="13"/>
      <c r="G492" s="13"/>
      <c r="H492" s="13"/>
    </row>
    <row r="493" spans="2:8" x14ac:dyDescent="0.2">
      <c r="B493" s="13"/>
      <c r="C493" s="13"/>
      <c r="D493" s="13"/>
      <c r="E493" s="13"/>
      <c r="F493" s="13"/>
      <c r="G493" s="13"/>
      <c r="H493" s="13"/>
    </row>
    <row r="494" spans="2:8" x14ac:dyDescent="0.2">
      <c r="B494" s="13"/>
      <c r="C494" s="13"/>
      <c r="D494" s="13"/>
      <c r="E494" s="13"/>
      <c r="F494" s="13"/>
      <c r="G494" s="13"/>
      <c r="H494" s="13"/>
    </row>
    <row r="495" spans="2:8" x14ac:dyDescent="0.2">
      <c r="B495" s="13"/>
      <c r="C495" s="13"/>
      <c r="D495" s="13"/>
      <c r="E495" s="13"/>
      <c r="F495" s="13"/>
      <c r="G495" s="13"/>
      <c r="H495" s="13"/>
    </row>
    <row r="496" spans="2:8" x14ac:dyDescent="0.2">
      <c r="B496" s="13"/>
      <c r="C496" s="13"/>
      <c r="D496" s="13"/>
      <c r="E496" s="13"/>
      <c r="F496" s="13"/>
      <c r="G496" s="13"/>
      <c r="H496" s="13"/>
    </row>
    <row r="497" spans="2:8" x14ac:dyDescent="0.2">
      <c r="B497" s="13"/>
      <c r="C497" s="13"/>
      <c r="D497" s="13"/>
      <c r="E497" s="13"/>
      <c r="F497" s="13"/>
      <c r="G497" s="13"/>
      <c r="H497" s="13"/>
    </row>
    <row r="498" spans="2:8" x14ac:dyDescent="0.2">
      <c r="B498" s="13"/>
      <c r="C498" s="13"/>
      <c r="D498" s="13"/>
      <c r="E498" s="13"/>
      <c r="F498" s="13"/>
      <c r="G498" s="13"/>
      <c r="H498" s="13"/>
    </row>
    <row r="499" spans="2:8" x14ac:dyDescent="0.2">
      <c r="B499" s="13"/>
      <c r="C499" s="13"/>
      <c r="D499" s="13"/>
      <c r="E499" s="13"/>
      <c r="F499" s="13"/>
      <c r="G499" s="13"/>
      <c r="H499" s="13"/>
    </row>
    <row r="500" spans="2:8" x14ac:dyDescent="0.2">
      <c r="B500" s="13"/>
      <c r="C500" s="13"/>
      <c r="D500" s="13"/>
      <c r="E500" s="13"/>
      <c r="F500" s="13"/>
      <c r="G500" s="13"/>
      <c r="H500" s="13"/>
    </row>
    <row r="501" spans="2:8" x14ac:dyDescent="0.2">
      <c r="B501" s="13"/>
      <c r="C501" s="13"/>
      <c r="D501" s="13"/>
      <c r="E501" s="13"/>
      <c r="F501" s="13"/>
      <c r="G501" s="13"/>
      <c r="H501" s="13"/>
    </row>
    <row r="502" spans="2:8" x14ac:dyDescent="0.2">
      <c r="B502" s="13"/>
      <c r="C502" s="13"/>
      <c r="D502" s="13"/>
      <c r="E502" s="13"/>
      <c r="F502" s="13"/>
      <c r="G502" s="13"/>
      <c r="H502" s="13"/>
    </row>
    <row r="503" spans="2:8" x14ac:dyDescent="0.2">
      <c r="B503" s="13"/>
      <c r="C503" s="13"/>
      <c r="D503" s="13"/>
      <c r="E503" s="13"/>
      <c r="F503" s="13"/>
      <c r="G503" s="13"/>
      <c r="H503" s="13"/>
    </row>
    <row r="504" spans="2:8" x14ac:dyDescent="0.2">
      <c r="B504" s="13"/>
      <c r="C504" s="13"/>
      <c r="D504" s="13"/>
      <c r="E504" s="13"/>
      <c r="F504" s="13"/>
      <c r="G504" s="13"/>
      <c r="H504" s="13"/>
    </row>
    <row r="505" spans="2:8" x14ac:dyDescent="0.2">
      <c r="B505" s="13"/>
      <c r="C505" s="13"/>
      <c r="D505" s="13"/>
      <c r="E505" s="13"/>
      <c r="F505" s="13"/>
      <c r="G505" s="13"/>
      <c r="H505" s="13"/>
    </row>
    <row r="506" spans="2:8" x14ac:dyDescent="0.2">
      <c r="B506" s="13"/>
      <c r="C506" s="13"/>
      <c r="D506" s="13"/>
      <c r="E506" s="13"/>
      <c r="F506" s="13"/>
      <c r="G506" s="13"/>
      <c r="H506" s="13"/>
    </row>
    <row r="507" spans="2:8" x14ac:dyDescent="0.2">
      <c r="B507" s="13"/>
      <c r="C507" s="13"/>
      <c r="D507" s="13"/>
      <c r="E507" s="13"/>
      <c r="F507" s="13"/>
      <c r="G507" s="13"/>
      <c r="H507" s="13"/>
    </row>
    <row r="508" spans="2:8" x14ac:dyDescent="0.2">
      <c r="B508" s="13"/>
      <c r="C508" s="13"/>
      <c r="D508" s="13"/>
      <c r="E508" s="13"/>
      <c r="F508" s="13"/>
      <c r="G508" s="13"/>
      <c r="H508" s="13"/>
    </row>
    <row r="509" spans="2:8" x14ac:dyDescent="0.2">
      <c r="B509" s="13"/>
      <c r="C509" s="13"/>
      <c r="D509" s="13"/>
      <c r="E509" s="13"/>
      <c r="F509" s="13"/>
      <c r="G509" s="13"/>
      <c r="H509" s="13"/>
    </row>
    <row r="510" spans="2:8" x14ac:dyDescent="0.2">
      <c r="B510" s="13"/>
      <c r="C510" s="13"/>
      <c r="D510" s="13"/>
      <c r="E510" s="13"/>
      <c r="F510" s="13"/>
      <c r="G510" s="13"/>
      <c r="H510" s="13"/>
    </row>
    <row r="511" spans="2:8" x14ac:dyDescent="0.2">
      <c r="B511" s="13"/>
      <c r="C511" s="13"/>
      <c r="D511" s="13"/>
      <c r="E511" s="13"/>
      <c r="F511" s="13"/>
      <c r="G511" s="13"/>
      <c r="H511" s="13"/>
    </row>
    <row r="512" spans="2:8" x14ac:dyDescent="0.2">
      <c r="B512" s="13"/>
      <c r="C512" s="13"/>
      <c r="D512" s="13"/>
      <c r="E512" s="13"/>
      <c r="F512" s="13"/>
      <c r="G512" s="13"/>
      <c r="H512" s="13"/>
    </row>
    <row r="513" spans="2:8" x14ac:dyDescent="0.2">
      <c r="B513" s="13"/>
      <c r="C513" s="13"/>
      <c r="D513" s="13"/>
      <c r="E513" s="13"/>
      <c r="F513" s="13"/>
      <c r="G513" s="13"/>
      <c r="H513" s="13"/>
    </row>
    <row r="514" spans="2:8" x14ac:dyDescent="0.2">
      <c r="B514" s="13"/>
      <c r="C514" s="13"/>
      <c r="D514" s="13"/>
      <c r="E514" s="13"/>
      <c r="F514" s="13"/>
      <c r="G514" s="13"/>
      <c r="H514" s="13"/>
    </row>
    <row r="515" spans="2:8" x14ac:dyDescent="0.2">
      <c r="B515" s="13"/>
      <c r="C515" s="13"/>
      <c r="D515" s="13"/>
      <c r="E515" s="13"/>
      <c r="F515" s="13"/>
      <c r="G515" s="13"/>
      <c r="H515" s="13"/>
    </row>
    <row r="516" spans="2:8" x14ac:dyDescent="0.2">
      <c r="B516" s="13"/>
      <c r="C516" s="13"/>
      <c r="D516" s="13"/>
      <c r="E516" s="13"/>
      <c r="F516" s="13"/>
      <c r="G516" s="13"/>
      <c r="H516" s="13"/>
    </row>
    <row r="517" spans="2:8" x14ac:dyDescent="0.2">
      <c r="B517" s="13"/>
      <c r="C517" s="13"/>
      <c r="D517" s="13"/>
      <c r="E517" s="13"/>
      <c r="F517" s="13"/>
      <c r="G517" s="13"/>
      <c r="H517" s="13"/>
    </row>
    <row r="518" spans="2:8" x14ac:dyDescent="0.2">
      <c r="B518" s="13"/>
      <c r="C518" s="13"/>
      <c r="D518" s="13"/>
      <c r="E518" s="13"/>
      <c r="F518" s="13"/>
      <c r="G518" s="13"/>
      <c r="H518" s="13"/>
    </row>
    <row r="519" spans="2:8" x14ac:dyDescent="0.2">
      <c r="B519" s="13"/>
      <c r="C519" s="13"/>
      <c r="D519" s="13"/>
      <c r="E519" s="13"/>
      <c r="F519" s="13"/>
      <c r="G519" s="13"/>
      <c r="H519" s="13"/>
    </row>
    <row r="520" spans="2:8" x14ac:dyDescent="0.2">
      <c r="B520" s="13"/>
      <c r="C520" s="13"/>
      <c r="D520" s="13"/>
      <c r="E520" s="13"/>
      <c r="F520" s="13"/>
      <c r="G520" s="13"/>
      <c r="H520" s="13"/>
    </row>
    <row r="521" spans="2:8" x14ac:dyDescent="0.2">
      <c r="B521" s="13"/>
      <c r="C521" s="13"/>
      <c r="D521" s="13"/>
      <c r="E521" s="13"/>
      <c r="F521" s="13"/>
      <c r="G521" s="13"/>
      <c r="H521" s="13"/>
    </row>
    <row r="522" spans="2:8" x14ac:dyDescent="0.2">
      <c r="B522" s="13"/>
      <c r="C522" s="13"/>
      <c r="D522" s="13"/>
      <c r="E522" s="13"/>
      <c r="F522" s="13"/>
      <c r="G522" s="13"/>
      <c r="H522" s="13"/>
    </row>
    <row r="523" spans="2:8" x14ac:dyDescent="0.2">
      <c r="B523" s="13"/>
      <c r="C523" s="13"/>
      <c r="D523" s="13"/>
      <c r="E523" s="13"/>
      <c r="F523" s="13"/>
      <c r="G523" s="13"/>
      <c r="H523" s="13"/>
    </row>
    <row r="524" spans="2:8" x14ac:dyDescent="0.2">
      <c r="B524" s="13"/>
      <c r="C524" s="13"/>
      <c r="D524" s="13"/>
      <c r="E524" s="13"/>
      <c r="F524" s="13"/>
      <c r="G524" s="13"/>
      <c r="H524" s="13"/>
    </row>
    <row r="525" spans="2:8" x14ac:dyDescent="0.2">
      <c r="B525" s="13"/>
      <c r="C525" s="13"/>
      <c r="D525" s="13"/>
      <c r="E525" s="13"/>
      <c r="F525" s="13"/>
      <c r="G525" s="13"/>
      <c r="H525" s="13"/>
    </row>
    <row r="526" spans="2:8" x14ac:dyDescent="0.2">
      <c r="B526" s="13"/>
      <c r="C526" s="13"/>
      <c r="D526" s="13"/>
      <c r="E526" s="13"/>
      <c r="F526" s="13"/>
      <c r="G526" s="13"/>
      <c r="H526" s="13"/>
    </row>
    <row r="527" spans="2:8" x14ac:dyDescent="0.2">
      <c r="B527" s="13"/>
      <c r="C527" s="13"/>
      <c r="D527" s="13"/>
      <c r="E527" s="13"/>
      <c r="F527" s="13"/>
      <c r="G527" s="13"/>
      <c r="H527" s="13"/>
    </row>
    <row r="528" spans="2:8" x14ac:dyDescent="0.2">
      <c r="B528" s="13"/>
      <c r="C528" s="13"/>
      <c r="D528" s="13"/>
      <c r="E528" s="13"/>
      <c r="F528" s="13"/>
      <c r="G528" s="13"/>
      <c r="H528" s="13"/>
    </row>
    <row r="529" spans="2:8" x14ac:dyDescent="0.2">
      <c r="B529" s="13"/>
      <c r="C529" s="13"/>
      <c r="D529" s="13"/>
      <c r="E529" s="13"/>
      <c r="F529" s="13"/>
      <c r="G529" s="13"/>
      <c r="H529" s="13"/>
    </row>
    <row r="530" spans="2:8" x14ac:dyDescent="0.2">
      <c r="B530" s="13"/>
      <c r="C530" s="13"/>
      <c r="D530" s="13"/>
      <c r="E530" s="13"/>
      <c r="F530" s="13"/>
      <c r="G530" s="13"/>
      <c r="H530" s="13"/>
    </row>
    <row r="531" spans="2:8" x14ac:dyDescent="0.2">
      <c r="B531" s="13"/>
      <c r="C531" s="13"/>
      <c r="D531" s="13"/>
      <c r="E531" s="13"/>
      <c r="F531" s="13"/>
      <c r="G531" s="13"/>
      <c r="H531" s="13"/>
    </row>
    <row r="532" spans="2:8" x14ac:dyDescent="0.2">
      <c r="B532" s="13"/>
      <c r="C532" s="13"/>
      <c r="D532" s="13"/>
      <c r="E532" s="13"/>
      <c r="F532" s="13"/>
      <c r="G532" s="13"/>
      <c r="H532" s="13"/>
    </row>
    <row r="533" spans="2:8" x14ac:dyDescent="0.2">
      <c r="B533" s="13"/>
      <c r="C533" s="13"/>
      <c r="D533" s="13"/>
      <c r="E533" s="13"/>
      <c r="F533" s="13"/>
      <c r="G533" s="13"/>
      <c r="H533" s="13"/>
    </row>
    <row r="534" spans="2:8" x14ac:dyDescent="0.2">
      <c r="B534" s="13"/>
      <c r="C534" s="13"/>
      <c r="D534" s="13"/>
      <c r="E534" s="13"/>
      <c r="F534" s="13"/>
      <c r="G534" s="13"/>
      <c r="H534" s="13"/>
    </row>
    <row r="535" spans="2:8" x14ac:dyDescent="0.2">
      <c r="B535" s="13"/>
      <c r="C535" s="13"/>
      <c r="D535" s="13"/>
      <c r="E535" s="13"/>
      <c r="F535" s="13"/>
      <c r="G535" s="13"/>
      <c r="H535" s="13"/>
    </row>
    <row r="536" spans="2:8" x14ac:dyDescent="0.2">
      <c r="B536" s="13"/>
      <c r="C536" s="13"/>
      <c r="D536" s="13"/>
      <c r="E536" s="13"/>
      <c r="F536" s="13"/>
      <c r="G536" s="13"/>
      <c r="H536" s="13"/>
    </row>
    <row r="537" spans="2:8" x14ac:dyDescent="0.2">
      <c r="B537" s="13"/>
      <c r="C537" s="13"/>
      <c r="D537" s="13"/>
      <c r="E537" s="13"/>
      <c r="F537" s="13"/>
      <c r="G537" s="13"/>
      <c r="H537" s="13"/>
    </row>
    <row r="538" spans="2:8" x14ac:dyDescent="0.2">
      <c r="B538" s="13"/>
      <c r="C538" s="13"/>
      <c r="D538" s="13"/>
      <c r="E538" s="13"/>
      <c r="F538" s="13"/>
      <c r="G538" s="13"/>
      <c r="H538" s="13"/>
    </row>
    <row r="539" spans="2:8" x14ac:dyDescent="0.2">
      <c r="B539" s="13"/>
      <c r="C539" s="13"/>
      <c r="D539" s="13"/>
      <c r="E539" s="13"/>
      <c r="F539" s="13"/>
      <c r="G539" s="13"/>
      <c r="H539" s="13"/>
    </row>
    <row r="540" spans="2:8" x14ac:dyDescent="0.2">
      <c r="B540" s="13"/>
      <c r="C540" s="13"/>
      <c r="D540" s="13"/>
      <c r="E540" s="13"/>
      <c r="F540" s="13"/>
      <c r="G540" s="13"/>
      <c r="H540" s="13"/>
    </row>
    <row r="541" spans="2:8" x14ac:dyDescent="0.2">
      <c r="B541" s="13"/>
      <c r="C541" s="13"/>
      <c r="D541" s="13"/>
      <c r="E541" s="13"/>
      <c r="F541" s="13"/>
      <c r="G541" s="13"/>
      <c r="H541" s="13"/>
    </row>
    <row r="542" spans="2:8" x14ac:dyDescent="0.2">
      <c r="B542" s="13"/>
      <c r="C542" s="13"/>
      <c r="D542" s="13"/>
      <c r="E542" s="13"/>
      <c r="F542" s="13"/>
      <c r="G542" s="13"/>
      <c r="H542" s="13"/>
    </row>
    <row r="543" spans="2:8" x14ac:dyDescent="0.2">
      <c r="B543" s="13"/>
      <c r="C543" s="13"/>
      <c r="D543" s="13"/>
      <c r="E543" s="13"/>
      <c r="F543" s="13"/>
      <c r="G543" s="13"/>
      <c r="H543" s="13"/>
    </row>
    <row r="544" spans="2:8" x14ac:dyDescent="0.2">
      <c r="B544" s="13"/>
      <c r="C544" s="13"/>
      <c r="D544" s="13"/>
      <c r="E544" s="13"/>
      <c r="F544" s="13"/>
      <c r="G544" s="13"/>
      <c r="H544" s="13"/>
    </row>
    <row r="545" spans="2:8" x14ac:dyDescent="0.2">
      <c r="B545" s="13"/>
      <c r="C545" s="13"/>
      <c r="D545" s="13"/>
      <c r="E545" s="13"/>
      <c r="F545" s="13"/>
      <c r="G545" s="13"/>
      <c r="H545" s="13"/>
    </row>
    <row r="546" spans="2:8" x14ac:dyDescent="0.2">
      <c r="B546" s="13"/>
      <c r="C546" s="13"/>
      <c r="D546" s="13"/>
      <c r="E546" s="13"/>
      <c r="F546" s="13"/>
      <c r="G546" s="13"/>
      <c r="H546" s="13"/>
    </row>
    <row r="547" spans="2:8" x14ac:dyDescent="0.2">
      <c r="B547" s="13"/>
      <c r="C547" s="13"/>
      <c r="D547" s="13"/>
      <c r="E547" s="13"/>
      <c r="F547" s="13"/>
      <c r="G547" s="13"/>
      <c r="H547" s="13"/>
    </row>
    <row r="548" spans="2:8" x14ac:dyDescent="0.2">
      <c r="B548" s="13"/>
      <c r="C548" s="13"/>
      <c r="D548" s="13"/>
      <c r="E548" s="13"/>
      <c r="F548" s="13"/>
      <c r="G548" s="13"/>
      <c r="H548" s="13"/>
    </row>
    <row r="549" spans="2:8" x14ac:dyDescent="0.2">
      <c r="B549" s="13"/>
      <c r="C549" s="13"/>
      <c r="D549" s="13"/>
      <c r="E549" s="13"/>
      <c r="F549" s="13"/>
      <c r="G549" s="13"/>
      <c r="H549" s="13"/>
    </row>
    <row r="550" spans="2:8" x14ac:dyDescent="0.2">
      <c r="B550" s="13"/>
      <c r="C550" s="13"/>
      <c r="D550" s="13"/>
      <c r="E550" s="13"/>
      <c r="F550" s="13"/>
      <c r="G550" s="13"/>
      <c r="H550" s="13"/>
    </row>
    <row r="551" spans="2:8" x14ac:dyDescent="0.2">
      <c r="B551" s="13"/>
      <c r="C551" s="13"/>
      <c r="D551" s="13"/>
      <c r="E551" s="13"/>
      <c r="F551" s="13"/>
      <c r="G551" s="13"/>
      <c r="H551" s="13"/>
    </row>
    <row r="552" spans="2:8" x14ac:dyDescent="0.2">
      <c r="B552" s="13"/>
      <c r="C552" s="13"/>
      <c r="D552" s="13"/>
      <c r="E552" s="13"/>
      <c r="F552" s="13"/>
      <c r="G552" s="13"/>
      <c r="H552" s="13"/>
    </row>
    <row r="553" spans="2:8" x14ac:dyDescent="0.2">
      <c r="B553" s="13"/>
      <c r="C553" s="13"/>
      <c r="D553" s="13"/>
      <c r="E553" s="13"/>
      <c r="F553" s="13"/>
      <c r="G553" s="13"/>
      <c r="H553" s="13"/>
    </row>
    <row r="554" spans="2:8" x14ac:dyDescent="0.2">
      <c r="B554" s="13"/>
      <c r="C554" s="13"/>
      <c r="D554" s="13"/>
      <c r="E554" s="13"/>
      <c r="F554" s="13"/>
      <c r="G554" s="13"/>
      <c r="H554" s="13"/>
    </row>
    <row r="555" spans="2:8" x14ac:dyDescent="0.2">
      <c r="B555" s="13"/>
      <c r="C555" s="13"/>
      <c r="D555" s="13"/>
      <c r="E555" s="13"/>
      <c r="F555" s="13"/>
      <c r="G555" s="13"/>
      <c r="H555" s="13"/>
    </row>
    <row r="556" spans="2:8" x14ac:dyDescent="0.2">
      <c r="B556" s="13"/>
      <c r="C556" s="13"/>
      <c r="D556" s="13"/>
      <c r="E556" s="13"/>
      <c r="F556" s="13"/>
      <c r="G556" s="13"/>
      <c r="H556" s="13"/>
    </row>
    <row r="557" spans="2:8" x14ac:dyDescent="0.2">
      <c r="B557" s="13"/>
      <c r="C557" s="13"/>
      <c r="D557" s="13"/>
      <c r="E557" s="13"/>
      <c r="F557" s="13"/>
      <c r="G557" s="13"/>
      <c r="H557" s="13"/>
    </row>
    <row r="558" spans="2:8" x14ac:dyDescent="0.2">
      <c r="B558" s="13"/>
      <c r="C558" s="13"/>
      <c r="D558" s="13"/>
      <c r="E558" s="13"/>
      <c r="F558" s="13"/>
      <c r="G558" s="13"/>
      <c r="H558" s="13"/>
    </row>
    <row r="559" spans="2:8" x14ac:dyDescent="0.2">
      <c r="B559" s="13"/>
      <c r="C559" s="13"/>
      <c r="D559" s="13"/>
      <c r="E559" s="13"/>
      <c r="F559" s="13"/>
      <c r="G559" s="13"/>
      <c r="H559" s="13"/>
    </row>
    <row r="560" spans="2:8" x14ac:dyDescent="0.2">
      <c r="B560" s="13"/>
      <c r="C560" s="13"/>
      <c r="D560" s="13"/>
      <c r="E560" s="13"/>
      <c r="F560" s="13"/>
      <c r="G560" s="13"/>
      <c r="H560" s="13"/>
    </row>
    <row r="561" spans="2:8" x14ac:dyDescent="0.2">
      <c r="B561" s="13"/>
      <c r="C561" s="13"/>
      <c r="D561" s="13"/>
      <c r="E561" s="13"/>
      <c r="F561" s="13"/>
      <c r="G561" s="13"/>
      <c r="H561" s="13"/>
    </row>
    <row r="562" spans="2:8" x14ac:dyDescent="0.2">
      <c r="B562" s="13"/>
      <c r="C562" s="13"/>
      <c r="D562" s="13"/>
      <c r="E562" s="13"/>
      <c r="F562" s="13"/>
      <c r="G562" s="13"/>
      <c r="H562" s="13"/>
    </row>
    <row r="563" spans="2:8" x14ac:dyDescent="0.2">
      <c r="B563" s="13"/>
      <c r="C563" s="13"/>
      <c r="D563" s="13"/>
      <c r="E563" s="13"/>
      <c r="F563" s="13"/>
      <c r="G563" s="13"/>
      <c r="H563" s="13"/>
    </row>
    <row r="564" spans="2:8" x14ac:dyDescent="0.2">
      <c r="B564" s="13"/>
      <c r="C564" s="13"/>
      <c r="D564" s="13"/>
      <c r="E564" s="13"/>
      <c r="F564" s="13"/>
      <c r="G564" s="13"/>
      <c r="H564" s="13"/>
    </row>
    <row r="565" spans="2:8" x14ac:dyDescent="0.2">
      <c r="B565" s="13"/>
      <c r="C565" s="13"/>
      <c r="D565" s="13"/>
      <c r="E565" s="13"/>
      <c r="F565" s="13"/>
      <c r="G565" s="13"/>
      <c r="H565" s="13"/>
    </row>
    <row r="566" spans="2:8" x14ac:dyDescent="0.2">
      <c r="B566" s="13"/>
      <c r="C566" s="13"/>
      <c r="D566" s="13"/>
      <c r="E566" s="13"/>
      <c r="F566" s="13"/>
      <c r="G566" s="13"/>
      <c r="H566" s="13"/>
    </row>
    <row r="567" spans="2:8" x14ac:dyDescent="0.2">
      <c r="B567" s="13"/>
      <c r="C567" s="13"/>
      <c r="D567" s="13"/>
      <c r="E567" s="13"/>
      <c r="F567" s="13"/>
      <c r="G567" s="13"/>
      <c r="H567" s="13"/>
    </row>
    <row r="568" spans="2:8" x14ac:dyDescent="0.2">
      <c r="B568" s="13"/>
      <c r="C568" s="13"/>
      <c r="D568" s="13"/>
      <c r="E568" s="13"/>
      <c r="F568" s="13"/>
      <c r="G568" s="13"/>
      <c r="H568" s="13"/>
    </row>
    <row r="569" spans="2:8" x14ac:dyDescent="0.2">
      <c r="B569" s="13"/>
      <c r="C569" s="13"/>
      <c r="D569" s="13"/>
      <c r="E569" s="13"/>
      <c r="F569" s="13"/>
      <c r="G569" s="13"/>
      <c r="H569" s="13"/>
    </row>
    <row r="570" spans="2:8" x14ac:dyDescent="0.2">
      <c r="B570" s="13"/>
      <c r="C570" s="13"/>
      <c r="D570" s="13"/>
      <c r="E570" s="13"/>
      <c r="F570" s="13"/>
      <c r="G570" s="13"/>
      <c r="H570" s="13"/>
    </row>
    <row r="571" spans="2:8" x14ac:dyDescent="0.2">
      <c r="B571" s="13"/>
      <c r="C571" s="13"/>
      <c r="D571" s="13"/>
      <c r="E571" s="13"/>
      <c r="F571" s="13"/>
      <c r="G571" s="13"/>
      <c r="H571" s="13"/>
    </row>
    <row r="572" spans="2:8" x14ac:dyDescent="0.2">
      <c r="B572" s="13"/>
      <c r="C572" s="13"/>
      <c r="D572" s="13"/>
      <c r="E572" s="13"/>
      <c r="F572" s="13"/>
      <c r="G572" s="13"/>
      <c r="H572" s="13"/>
    </row>
    <row r="573" spans="2:8" x14ac:dyDescent="0.2">
      <c r="B573" s="13"/>
      <c r="C573" s="13"/>
      <c r="D573" s="13"/>
      <c r="E573" s="13"/>
      <c r="F573" s="13"/>
      <c r="G573" s="13"/>
      <c r="H573" s="13"/>
    </row>
    <row r="574" spans="2:8" x14ac:dyDescent="0.2">
      <c r="B574" s="13"/>
      <c r="C574" s="13"/>
      <c r="D574" s="13"/>
      <c r="E574" s="13"/>
      <c r="F574" s="13"/>
      <c r="G574" s="13"/>
      <c r="H574" s="13"/>
    </row>
    <row r="575" spans="2:8" x14ac:dyDescent="0.2">
      <c r="B575" s="13"/>
      <c r="C575" s="13"/>
      <c r="D575" s="13"/>
      <c r="E575" s="13"/>
      <c r="F575" s="13"/>
      <c r="G575" s="13"/>
      <c r="H575" s="13"/>
    </row>
    <row r="576" spans="2:8" x14ac:dyDescent="0.2">
      <c r="B576" s="13"/>
      <c r="C576" s="13"/>
      <c r="D576" s="13"/>
      <c r="E576" s="13"/>
      <c r="F576" s="13"/>
      <c r="G576" s="13"/>
      <c r="H576" s="13"/>
    </row>
    <row r="577" spans="2:8" x14ac:dyDescent="0.2">
      <c r="B577" s="13"/>
      <c r="C577" s="13"/>
      <c r="D577" s="13"/>
      <c r="E577" s="13"/>
      <c r="F577" s="13"/>
      <c r="G577" s="13"/>
      <c r="H577" s="13"/>
    </row>
    <row r="578" spans="2:8" x14ac:dyDescent="0.2">
      <c r="B578" s="13"/>
      <c r="C578" s="13"/>
      <c r="D578" s="13"/>
      <c r="E578" s="13"/>
      <c r="F578" s="13"/>
      <c r="G578" s="13"/>
      <c r="H578" s="13"/>
    </row>
    <row r="579" spans="2:8" x14ac:dyDescent="0.2">
      <c r="B579" s="13"/>
      <c r="C579" s="13"/>
      <c r="D579" s="13"/>
      <c r="E579" s="13"/>
      <c r="F579" s="13"/>
      <c r="G579" s="13"/>
      <c r="H579" s="13"/>
    </row>
    <row r="580" spans="2:8" x14ac:dyDescent="0.2">
      <c r="B580" s="13"/>
      <c r="C580" s="13"/>
      <c r="D580" s="13"/>
      <c r="E580" s="13"/>
      <c r="F580" s="13"/>
      <c r="G580" s="13"/>
      <c r="H580" s="13"/>
    </row>
    <row r="581" spans="2:8" x14ac:dyDescent="0.2">
      <c r="B581" s="13"/>
      <c r="C581" s="13"/>
      <c r="D581" s="13"/>
      <c r="E581" s="13"/>
      <c r="F581" s="13"/>
      <c r="G581" s="13"/>
      <c r="H581" s="13"/>
    </row>
    <row r="582" spans="2:8" x14ac:dyDescent="0.2">
      <c r="B582" s="13"/>
      <c r="C582" s="13"/>
      <c r="D582" s="13"/>
      <c r="E582" s="13"/>
      <c r="F582" s="13"/>
      <c r="G582" s="13"/>
      <c r="H582" s="13"/>
    </row>
    <row r="583" spans="2:8" x14ac:dyDescent="0.2">
      <c r="B583" s="13"/>
      <c r="C583" s="13"/>
      <c r="D583" s="13"/>
      <c r="E583" s="13"/>
      <c r="F583" s="13"/>
      <c r="G583" s="13"/>
      <c r="H583" s="13"/>
    </row>
    <row r="584" spans="2:8" x14ac:dyDescent="0.2">
      <c r="B584" s="13"/>
      <c r="C584" s="13"/>
      <c r="D584" s="13"/>
      <c r="E584" s="13"/>
      <c r="F584" s="13"/>
      <c r="G584" s="13"/>
      <c r="H584" s="13"/>
    </row>
    <row r="585" spans="2:8" x14ac:dyDescent="0.2">
      <c r="B585" s="13"/>
      <c r="C585" s="13"/>
      <c r="D585" s="13"/>
      <c r="E585" s="13"/>
      <c r="F585" s="13"/>
      <c r="G585" s="13"/>
      <c r="H585" s="13"/>
    </row>
    <row r="586" spans="2:8" x14ac:dyDescent="0.2">
      <c r="B586" s="13"/>
      <c r="C586" s="13"/>
      <c r="D586" s="13"/>
      <c r="E586" s="13"/>
      <c r="F586" s="13"/>
      <c r="G586" s="13"/>
      <c r="H586" s="13"/>
    </row>
    <row r="587" spans="2:8" x14ac:dyDescent="0.2">
      <c r="B587" s="13"/>
      <c r="C587" s="13"/>
      <c r="D587" s="13"/>
      <c r="E587" s="13"/>
      <c r="F587" s="13"/>
      <c r="G587" s="13"/>
      <c r="H587" s="13"/>
    </row>
    <row r="588" spans="2:8" x14ac:dyDescent="0.2">
      <c r="B588" s="13"/>
      <c r="C588" s="13"/>
      <c r="D588" s="13"/>
      <c r="E588" s="13"/>
      <c r="F588" s="13"/>
      <c r="G588" s="13"/>
      <c r="H588" s="13"/>
    </row>
    <row r="589" spans="2:8" x14ac:dyDescent="0.2">
      <c r="B589" s="13"/>
      <c r="C589" s="13"/>
      <c r="D589" s="13"/>
      <c r="E589" s="13"/>
      <c r="F589" s="13"/>
      <c r="G589" s="13"/>
      <c r="H589" s="13"/>
    </row>
    <row r="590" spans="2:8" x14ac:dyDescent="0.2">
      <c r="B590" s="13"/>
      <c r="C590" s="13"/>
      <c r="D590" s="13"/>
      <c r="E590" s="13"/>
      <c r="F590" s="13"/>
      <c r="G590" s="13"/>
      <c r="H590" s="13"/>
    </row>
    <row r="591" spans="2:8" x14ac:dyDescent="0.2">
      <c r="B591" s="13"/>
      <c r="C591" s="13"/>
      <c r="D591" s="13"/>
      <c r="E591" s="13"/>
      <c r="F591" s="13"/>
      <c r="G591" s="13"/>
      <c r="H591" s="13"/>
    </row>
    <row r="592" spans="2:8" x14ac:dyDescent="0.2">
      <c r="B592" s="13"/>
      <c r="C592" s="13"/>
      <c r="D592" s="13"/>
      <c r="E592" s="13"/>
      <c r="F592" s="13"/>
      <c r="G592" s="13"/>
      <c r="H592" s="13"/>
    </row>
    <row r="593" spans="2:8" x14ac:dyDescent="0.2">
      <c r="B593" s="13"/>
      <c r="C593" s="13"/>
      <c r="D593" s="13"/>
      <c r="E593" s="13"/>
      <c r="F593" s="13"/>
      <c r="G593" s="13"/>
      <c r="H593" s="13"/>
    </row>
    <row r="594" spans="2:8" x14ac:dyDescent="0.2">
      <c r="B594" s="13"/>
      <c r="C594" s="13"/>
      <c r="D594" s="13"/>
      <c r="E594" s="13"/>
      <c r="F594" s="13"/>
      <c r="G594" s="13"/>
      <c r="H594" s="13"/>
    </row>
  </sheetData>
  <mergeCells count="6">
    <mergeCell ref="A7:F7"/>
    <mergeCell ref="A1:H1"/>
    <mergeCell ref="A2:H2"/>
    <mergeCell ref="A3:H3"/>
    <mergeCell ref="A5:H5"/>
    <mergeCell ref="A6:F6"/>
  </mergeCells>
  <pageMargins left="0.78740157480314965" right="0.39370078740157483" top="0.59055118110236227" bottom="0.94488188976377963" header="0.31496062992125984" footer="0.31496062992125984"/>
  <pageSetup paperSize="9" scale="65" fitToHeight="18" orientation="portrait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2"/>
  <sheetViews>
    <sheetView topLeftCell="A503" workbookViewId="0">
      <selection activeCell="A166" sqref="A165:XFD166"/>
    </sheetView>
  </sheetViews>
  <sheetFormatPr defaultRowHeight="12.75" x14ac:dyDescent="0.2"/>
  <cols>
    <col min="1" max="1" width="61.140625" style="13" customWidth="1"/>
    <col min="2" max="2" width="4.85546875" style="45" customWidth="1"/>
    <col min="3" max="3" width="6.140625" style="45" customWidth="1"/>
    <col min="4" max="4" width="16.85546875" style="45" customWidth="1"/>
    <col min="5" max="5" width="5.85546875" style="45" customWidth="1"/>
    <col min="6" max="7" width="14.85546875" style="45" customWidth="1"/>
    <col min="8" max="8" width="17" style="45" customWidth="1"/>
    <col min="9" max="9" width="14.7109375" style="13" customWidth="1"/>
    <col min="10" max="16384" width="9.140625" style="13"/>
  </cols>
  <sheetData>
    <row r="1" spans="1:8" ht="14.25" x14ac:dyDescent="0.3">
      <c r="A1" s="74" t="s">
        <v>400</v>
      </c>
      <c r="B1" s="74" t="s">
        <v>358</v>
      </c>
      <c r="C1" s="74" t="s">
        <v>358</v>
      </c>
      <c r="D1" s="74" t="s">
        <v>358</v>
      </c>
      <c r="E1" s="74" t="s">
        <v>358</v>
      </c>
      <c r="F1" s="74" t="s">
        <v>358</v>
      </c>
      <c r="G1" s="74" t="s">
        <v>358</v>
      </c>
      <c r="H1" s="74" t="s">
        <v>358</v>
      </c>
    </row>
    <row r="2" spans="1:8" ht="14.25" x14ac:dyDescent="0.3">
      <c r="A2" s="74" t="s">
        <v>70</v>
      </c>
      <c r="B2" s="74" t="s">
        <v>70</v>
      </c>
      <c r="C2" s="74" t="s">
        <v>70</v>
      </c>
      <c r="D2" s="74" t="s">
        <v>70</v>
      </c>
      <c r="E2" s="74" t="s">
        <v>70</v>
      </c>
      <c r="F2" s="74" t="s">
        <v>70</v>
      </c>
      <c r="G2" s="74" t="s">
        <v>70</v>
      </c>
      <c r="H2" s="74" t="s">
        <v>70</v>
      </c>
    </row>
    <row r="3" spans="1:8" ht="14.25" x14ac:dyDescent="0.3">
      <c r="A3" s="74" t="s">
        <v>398</v>
      </c>
      <c r="B3" s="74" t="s">
        <v>359</v>
      </c>
      <c r="C3" s="74" t="s">
        <v>359</v>
      </c>
      <c r="D3" s="74" t="s">
        <v>359</v>
      </c>
      <c r="E3" s="74" t="s">
        <v>359</v>
      </c>
      <c r="F3" s="74" t="s">
        <v>359</v>
      </c>
      <c r="G3" s="74" t="s">
        <v>359</v>
      </c>
      <c r="H3" s="74" t="s">
        <v>359</v>
      </c>
    </row>
    <row r="5" spans="1:8" x14ac:dyDescent="0.2">
      <c r="A5" s="76" t="s">
        <v>75</v>
      </c>
      <c r="B5" s="76" t="s">
        <v>358</v>
      </c>
      <c r="C5" s="76" t="s">
        <v>358</v>
      </c>
      <c r="D5" s="76" t="s">
        <v>358</v>
      </c>
      <c r="E5" s="76" t="s">
        <v>358</v>
      </c>
      <c r="F5" s="76" t="s">
        <v>358</v>
      </c>
      <c r="G5" s="76" t="s">
        <v>358</v>
      </c>
      <c r="H5" s="76" t="s">
        <v>358</v>
      </c>
    </row>
    <row r="6" spans="1:8" x14ac:dyDescent="0.2">
      <c r="A6" s="76" t="s">
        <v>70</v>
      </c>
      <c r="B6" s="76" t="s">
        <v>70</v>
      </c>
      <c r="C6" s="76" t="s">
        <v>70</v>
      </c>
      <c r="D6" s="76" t="s">
        <v>70</v>
      </c>
      <c r="E6" s="76" t="s">
        <v>70</v>
      </c>
      <c r="F6" s="76" t="s">
        <v>70</v>
      </c>
      <c r="G6" s="76" t="s">
        <v>70</v>
      </c>
      <c r="H6" s="76" t="s">
        <v>70</v>
      </c>
    </row>
    <row r="7" spans="1:8" x14ac:dyDescent="0.2">
      <c r="A7" s="76" t="s">
        <v>399</v>
      </c>
      <c r="B7" s="76" t="s">
        <v>359</v>
      </c>
      <c r="C7" s="76" t="s">
        <v>359</v>
      </c>
      <c r="D7" s="76" t="s">
        <v>359</v>
      </c>
      <c r="E7" s="76" t="s">
        <v>359</v>
      </c>
      <c r="F7" s="76" t="s">
        <v>359</v>
      </c>
      <c r="G7" s="76" t="s">
        <v>359</v>
      </c>
      <c r="H7" s="76" t="s">
        <v>359</v>
      </c>
    </row>
    <row r="8" spans="1:8" x14ac:dyDescent="0.2">
      <c r="A8" s="31"/>
      <c r="B8" s="31"/>
      <c r="C8" s="31"/>
      <c r="D8" s="31"/>
      <c r="E8" s="32"/>
      <c r="F8" s="31"/>
      <c r="G8" s="31"/>
      <c r="H8" s="31"/>
    </row>
    <row r="9" spans="1:8" s="15" customFormat="1" ht="75" customHeight="1" x14ac:dyDescent="0.2">
      <c r="A9" s="75" t="s">
        <v>371</v>
      </c>
      <c r="B9" s="75"/>
      <c r="C9" s="75"/>
      <c r="D9" s="75"/>
      <c r="E9" s="75"/>
      <c r="F9" s="75"/>
      <c r="G9" s="75"/>
      <c r="H9" s="75"/>
    </row>
    <row r="10" spans="1:8" s="15" customFormat="1" ht="9.75" customHeight="1" x14ac:dyDescent="0.2">
      <c r="A10" s="75"/>
      <c r="B10" s="75"/>
      <c r="C10" s="75"/>
      <c r="D10" s="75"/>
      <c r="E10" s="75"/>
      <c r="F10" s="75"/>
    </row>
    <row r="11" spans="1:8" s="16" customFormat="1" ht="12" thickBot="1" x14ac:dyDescent="0.25">
      <c r="A11" s="73"/>
      <c r="B11" s="73"/>
      <c r="C11" s="73"/>
      <c r="D11" s="73"/>
      <c r="E11" s="73"/>
      <c r="F11" s="73"/>
      <c r="H11" s="48" t="s">
        <v>7</v>
      </c>
    </row>
    <row r="12" spans="1:8" ht="42.75" x14ac:dyDescent="0.2">
      <c r="A12" s="17"/>
      <c r="B12" s="18" t="s">
        <v>22</v>
      </c>
      <c r="C12" s="18" t="s">
        <v>3</v>
      </c>
      <c r="D12" s="18" t="s">
        <v>23</v>
      </c>
      <c r="E12" s="18" t="s">
        <v>24</v>
      </c>
      <c r="F12" s="19" t="s">
        <v>133</v>
      </c>
      <c r="G12" s="19" t="s">
        <v>132</v>
      </c>
      <c r="H12" s="19" t="s">
        <v>372</v>
      </c>
    </row>
    <row r="13" spans="1:8" s="56" customFormat="1" ht="12" x14ac:dyDescent="0.2">
      <c r="A13" s="54">
        <v>1</v>
      </c>
      <c r="B13" s="57">
        <v>2</v>
      </c>
      <c r="C13" s="57">
        <v>3</v>
      </c>
      <c r="D13" s="57">
        <v>4</v>
      </c>
      <c r="E13" s="57">
        <v>5</v>
      </c>
      <c r="F13" s="55">
        <v>6</v>
      </c>
      <c r="G13" s="55">
        <v>7</v>
      </c>
      <c r="H13" s="55">
        <v>8</v>
      </c>
    </row>
    <row r="14" spans="1:8" s="21" customFormat="1" ht="15.75" x14ac:dyDescent="0.25">
      <c r="A14" s="35" t="s">
        <v>4</v>
      </c>
      <c r="B14" s="33" t="s">
        <v>25</v>
      </c>
      <c r="C14" s="33" t="s">
        <v>26</v>
      </c>
      <c r="D14" s="33"/>
      <c r="E14" s="33"/>
      <c r="F14" s="34">
        <f>F15+F19+F28+F45+F52+F55+F42</f>
        <v>141032.5</v>
      </c>
      <c r="G14" s="34">
        <f t="shared" ref="G14:H14" si="0">G15+G19+G28+G45+G52+G55+G42</f>
        <v>106243.30000000002</v>
      </c>
      <c r="H14" s="34">
        <f t="shared" si="0"/>
        <v>106243.30000000002</v>
      </c>
    </row>
    <row r="15" spans="1:8" s="4" customFormat="1" ht="25.5" x14ac:dyDescent="0.2">
      <c r="A15" s="14" t="s">
        <v>27</v>
      </c>
      <c r="B15" s="11" t="s">
        <v>25</v>
      </c>
      <c r="C15" s="11" t="s">
        <v>28</v>
      </c>
      <c r="D15" s="11"/>
      <c r="E15" s="11"/>
      <c r="F15" s="12">
        <f t="shared" ref="F15:H15" si="1">F16</f>
        <v>1846.6</v>
      </c>
      <c r="G15" s="12">
        <f t="shared" si="1"/>
        <v>1527</v>
      </c>
      <c r="H15" s="12">
        <f t="shared" si="1"/>
        <v>1527</v>
      </c>
    </row>
    <row r="16" spans="1:8" ht="25.5" x14ac:dyDescent="0.2">
      <c r="A16" s="10" t="s">
        <v>348</v>
      </c>
      <c r="B16" s="8" t="s">
        <v>25</v>
      </c>
      <c r="C16" s="8" t="s">
        <v>28</v>
      </c>
      <c r="D16" s="8" t="s">
        <v>134</v>
      </c>
      <c r="E16" s="8"/>
      <c r="F16" s="9">
        <f>F18+F17</f>
        <v>1846.6</v>
      </c>
      <c r="G16" s="9">
        <f t="shared" ref="G16:H16" si="2">G18+G17</f>
        <v>1527</v>
      </c>
      <c r="H16" s="9">
        <f t="shared" si="2"/>
        <v>1527</v>
      </c>
    </row>
    <row r="17" spans="1:8" s="26" customFormat="1" ht="51" x14ac:dyDescent="0.2">
      <c r="A17" s="22" t="s">
        <v>9</v>
      </c>
      <c r="B17" s="23" t="s">
        <v>25</v>
      </c>
      <c r="C17" s="23" t="s">
        <v>28</v>
      </c>
      <c r="D17" s="23" t="s">
        <v>134</v>
      </c>
      <c r="E17" s="24" t="s">
        <v>10</v>
      </c>
      <c r="F17" s="25">
        <f>1132.8+50+342.1+2.1+25+25+184.6+35</f>
        <v>1796.6</v>
      </c>
      <c r="G17" s="25">
        <f>1132.8+50+342.1+2.1</f>
        <v>1527</v>
      </c>
      <c r="H17" s="25">
        <f>1132.8+50+342.1+2.1</f>
        <v>1527</v>
      </c>
    </row>
    <row r="18" spans="1:8" s="26" customFormat="1" ht="25.5" x14ac:dyDescent="0.2">
      <c r="A18" s="27" t="s">
        <v>20</v>
      </c>
      <c r="B18" s="23" t="s">
        <v>25</v>
      </c>
      <c r="C18" s="23" t="s">
        <v>28</v>
      </c>
      <c r="D18" s="23" t="s">
        <v>134</v>
      </c>
      <c r="E18" s="24" t="s">
        <v>12</v>
      </c>
      <c r="F18" s="25">
        <f>75-25</f>
        <v>50</v>
      </c>
      <c r="G18" s="25">
        <v>0</v>
      </c>
      <c r="H18" s="25">
        <v>0</v>
      </c>
    </row>
    <row r="19" spans="1:8" s="26" customFormat="1" ht="38.25" x14ac:dyDescent="0.2">
      <c r="A19" s="14" t="s">
        <v>29</v>
      </c>
      <c r="B19" s="11" t="s">
        <v>25</v>
      </c>
      <c r="C19" s="11" t="s">
        <v>30</v>
      </c>
      <c r="D19" s="11"/>
      <c r="E19" s="11"/>
      <c r="F19" s="12">
        <f>F20+F24+F26</f>
        <v>7056.8</v>
      </c>
      <c r="G19" s="12">
        <f>G20+G24+G26</f>
        <v>6300.7999999999993</v>
      </c>
      <c r="H19" s="12">
        <f>H20+H24+H26</f>
        <v>6300.7999999999993</v>
      </c>
    </row>
    <row r="20" spans="1:8" x14ac:dyDescent="0.2">
      <c r="A20" s="10" t="s">
        <v>135</v>
      </c>
      <c r="B20" s="8" t="s">
        <v>25</v>
      </c>
      <c r="C20" s="8" t="s">
        <v>30</v>
      </c>
      <c r="D20" s="8" t="s">
        <v>136</v>
      </c>
      <c r="E20" s="8"/>
      <c r="F20" s="9">
        <f>F21+F22+F23</f>
        <v>2823.7</v>
      </c>
      <c r="G20" s="9">
        <f>G21+G22+G23</f>
        <v>2463.4</v>
      </c>
      <c r="H20" s="9">
        <f>H21+H22+H23</f>
        <v>2463.4</v>
      </c>
    </row>
    <row r="21" spans="1:8" s="26" customFormat="1" ht="51" x14ac:dyDescent="0.2">
      <c r="A21" s="22" t="s">
        <v>9</v>
      </c>
      <c r="B21" s="23" t="s">
        <v>25</v>
      </c>
      <c r="C21" s="23" t="s">
        <v>30</v>
      </c>
      <c r="D21" s="23" t="s">
        <v>136</v>
      </c>
      <c r="E21" s="24" t="s">
        <v>10</v>
      </c>
      <c r="F21" s="25">
        <f>1684+508.6+20+276.6</f>
        <v>2489.1999999999998</v>
      </c>
      <c r="G21" s="25">
        <f>1684+508.6+20</f>
        <v>2212.6</v>
      </c>
      <c r="H21" s="25">
        <f>1684+508.6+20</f>
        <v>2212.6</v>
      </c>
    </row>
    <row r="22" spans="1:8" s="4" customFormat="1" ht="25.5" x14ac:dyDescent="0.2">
      <c r="A22" s="27" t="s">
        <v>20</v>
      </c>
      <c r="B22" s="23" t="s">
        <v>25</v>
      </c>
      <c r="C22" s="23" t="s">
        <v>30</v>
      </c>
      <c r="D22" s="23" t="s">
        <v>136</v>
      </c>
      <c r="E22" s="24" t="s">
        <v>12</v>
      </c>
      <c r="F22" s="25">
        <f>65.7+1.5+16.5+7.7+10.7+10+15.1+20.1+101.5+83.7</f>
        <v>332.5</v>
      </c>
      <c r="G22" s="25">
        <f>65.7+1.5+16.5+7.7+10.7+10+15.1+20.1+101.5</f>
        <v>248.8</v>
      </c>
      <c r="H22" s="25">
        <f>65.7+1.5+16.5+7.7+10.7+10+15.1+20.1+101.5</f>
        <v>248.8</v>
      </c>
    </row>
    <row r="23" spans="1:8" x14ac:dyDescent="0.2">
      <c r="A23" s="27" t="s">
        <v>16</v>
      </c>
      <c r="B23" s="23" t="s">
        <v>25</v>
      </c>
      <c r="C23" s="23" t="s">
        <v>30</v>
      </c>
      <c r="D23" s="23" t="s">
        <v>136</v>
      </c>
      <c r="E23" s="23" t="s">
        <v>17</v>
      </c>
      <c r="F23" s="25">
        <v>2</v>
      </c>
      <c r="G23" s="25">
        <v>2</v>
      </c>
      <c r="H23" s="25">
        <v>2</v>
      </c>
    </row>
    <row r="24" spans="1:8" s="26" customFormat="1" ht="25.5" x14ac:dyDescent="0.2">
      <c r="A24" s="10" t="s">
        <v>138</v>
      </c>
      <c r="B24" s="8" t="s">
        <v>25</v>
      </c>
      <c r="C24" s="8" t="s">
        <v>30</v>
      </c>
      <c r="D24" s="8" t="s">
        <v>137</v>
      </c>
      <c r="E24" s="8"/>
      <c r="F24" s="9">
        <f>F25</f>
        <v>1480.6000000000001</v>
      </c>
      <c r="G24" s="9">
        <f>G25</f>
        <v>1316.1000000000001</v>
      </c>
      <c r="H24" s="9">
        <f>H25</f>
        <v>1316.1000000000001</v>
      </c>
    </row>
    <row r="25" spans="1:8" s="7" customFormat="1" ht="51" x14ac:dyDescent="0.2">
      <c r="A25" s="22" t="s">
        <v>9</v>
      </c>
      <c r="B25" s="23" t="s">
        <v>25</v>
      </c>
      <c r="C25" s="23" t="s">
        <v>30</v>
      </c>
      <c r="D25" s="23" t="s">
        <v>137</v>
      </c>
      <c r="E25" s="24" t="s">
        <v>10</v>
      </c>
      <c r="F25" s="25">
        <f>1001.1+302.3+12.7+164.5</f>
        <v>1480.6000000000001</v>
      </c>
      <c r="G25" s="25">
        <f>1001.1+302.3+12.7</f>
        <v>1316.1000000000001</v>
      </c>
      <c r="H25" s="25">
        <f>1001.1+302.3+12.7</f>
        <v>1316.1000000000001</v>
      </c>
    </row>
    <row r="26" spans="1:8" s="39" customFormat="1" x14ac:dyDescent="0.2">
      <c r="A26" s="10" t="s">
        <v>346</v>
      </c>
      <c r="B26" s="8" t="s">
        <v>25</v>
      </c>
      <c r="C26" s="8" t="s">
        <v>30</v>
      </c>
      <c r="D26" s="8" t="s">
        <v>139</v>
      </c>
      <c r="E26" s="8"/>
      <c r="F26" s="9">
        <f>F27</f>
        <v>2752.5</v>
      </c>
      <c r="G26" s="9">
        <f>G27</f>
        <v>2521.2999999999997</v>
      </c>
      <c r="H26" s="9">
        <f>H27</f>
        <v>2521.2999999999997</v>
      </c>
    </row>
    <row r="27" spans="1:8" ht="51" x14ac:dyDescent="0.2">
      <c r="A27" s="22" t="s">
        <v>9</v>
      </c>
      <c r="B27" s="23" t="s">
        <v>25</v>
      </c>
      <c r="C27" s="23" t="s">
        <v>30</v>
      </c>
      <c r="D27" s="23" t="s">
        <v>139</v>
      </c>
      <c r="E27" s="24" t="s">
        <v>10</v>
      </c>
      <c r="F27" s="25">
        <f>615.8+1710.9+186+8.6+129.9+101.3</f>
        <v>2752.5</v>
      </c>
      <c r="G27" s="25">
        <f>615.8+1710.9+186+8.6</f>
        <v>2521.2999999999997</v>
      </c>
      <c r="H27" s="25">
        <f>615.8+1710.9+186+8.6</f>
        <v>2521.2999999999997</v>
      </c>
    </row>
    <row r="28" spans="1:8" s="26" customFormat="1" ht="38.25" x14ac:dyDescent="0.2">
      <c r="A28" s="14" t="s">
        <v>31</v>
      </c>
      <c r="B28" s="11" t="s">
        <v>25</v>
      </c>
      <c r="C28" s="11" t="s">
        <v>32</v>
      </c>
      <c r="D28" s="11"/>
      <c r="E28" s="11"/>
      <c r="F28" s="12">
        <f>F29+F32+F35+F39</f>
        <v>60068.900000000009</v>
      </c>
      <c r="G28" s="12">
        <f>G29+G32+G35+G39</f>
        <v>48184.500000000007</v>
      </c>
      <c r="H28" s="12">
        <f>H29+H32+H35+H39</f>
        <v>48184.500000000007</v>
      </c>
    </row>
    <row r="29" spans="1:8" ht="25.5" x14ac:dyDescent="0.2">
      <c r="A29" s="10" t="s">
        <v>140</v>
      </c>
      <c r="B29" s="8" t="s">
        <v>25</v>
      </c>
      <c r="C29" s="8" t="s">
        <v>32</v>
      </c>
      <c r="D29" s="8" t="s">
        <v>80</v>
      </c>
      <c r="E29" s="8"/>
      <c r="F29" s="9">
        <f>F30+F31</f>
        <v>386.9</v>
      </c>
      <c r="G29" s="9">
        <f>G30+G31</f>
        <v>347</v>
      </c>
      <c r="H29" s="9">
        <f>H30+H31</f>
        <v>347</v>
      </c>
    </row>
    <row r="30" spans="1:8" s="26" customFormat="1" ht="51" x14ac:dyDescent="0.2">
      <c r="A30" s="22" t="s">
        <v>9</v>
      </c>
      <c r="B30" s="23" t="s">
        <v>25</v>
      </c>
      <c r="C30" s="23" t="s">
        <v>32</v>
      </c>
      <c r="D30" s="23" t="s">
        <v>80</v>
      </c>
      <c r="E30" s="24" t="s">
        <v>10</v>
      </c>
      <c r="F30" s="25">
        <f>242.6+73.3+3+39.9</f>
        <v>358.79999999999995</v>
      </c>
      <c r="G30" s="25">
        <f>242.6+73.3+3</f>
        <v>318.89999999999998</v>
      </c>
      <c r="H30" s="25">
        <f>242.6+73.3+3</f>
        <v>318.89999999999998</v>
      </c>
    </row>
    <row r="31" spans="1:8" ht="25.5" x14ac:dyDescent="0.2">
      <c r="A31" s="27" t="s">
        <v>20</v>
      </c>
      <c r="B31" s="23" t="s">
        <v>25</v>
      </c>
      <c r="C31" s="23" t="s">
        <v>32</v>
      </c>
      <c r="D31" s="23" t="s">
        <v>80</v>
      </c>
      <c r="E31" s="24" t="s">
        <v>12</v>
      </c>
      <c r="F31" s="25">
        <f>13+15.1</f>
        <v>28.1</v>
      </c>
      <c r="G31" s="25">
        <f>13+15.1</f>
        <v>28.1</v>
      </c>
      <c r="H31" s="25">
        <f>13+15.1</f>
        <v>28.1</v>
      </c>
    </row>
    <row r="32" spans="1:8" s="26" customFormat="1" x14ac:dyDescent="0.2">
      <c r="A32" s="10" t="s">
        <v>141</v>
      </c>
      <c r="B32" s="8" t="s">
        <v>25</v>
      </c>
      <c r="C32" s="8" t="s">
        <v>32</v>
      </c>
      <c r="D32" s="8" t="s">
        <v>79</v>
      </c>
      <c r="E32" s="8"/>
      <c r="F32" s="9">
        <f>F33+F34</f>
        <v>115</v>
      </c>
      <c r="G32" s="9">
        <f t="shared" ref="G32:H32" si="3">G33+G34</f>
        <v>115</v>
      </c>
      <c r="H32" s="9">
        <f t="shared" si="3"/>
        <v>115</v>
      </c>
    </row>
    <row r="33" spans="1:12" s="26" customFormat="1" ht="51" x14ac:dyDescent="0.2">
      <c r="A33" s="22" t="s">
        <v>9</v>
      </c>
      <c r="B33" s="23" t="s">
        <v>25</v>
      </c>
      <c r="C33" s="23" t="s">
        <v>32</v>
      </c>
      <c r="D33" s="23" t="s">
        <v>79</v>
      </c>
      <c r="E33" s="24" t="s">
        <v>10</v>
      </c>
      <c r="F33" s="25">
        <f>82.7+25</f>
        <v>107.7</v>
      </c>
      <c r="G33" s="25">
        <f>82.7+25</f>
        <v>107.7</v>
      </c>
      <c r="H33" s="25">
        <f>82.7+25</f>
        <v>107.7</v>
      </c>
    </row>
    <row r="34" spans="1:12" s="26" customFormat="1" ht="25.5" x14ac:dyDescent="0.2">
      <c r="A34" s="46" t="s">
        <v>362</v>
      </c>
      <c r="B34" s="23" t="s">
        <v>25</v>
      </c>
      <c r="C34" s="23" t="s">
        <v>32</v>
      </c>
      <c r="D34" s="23" t="s">
        <v>79</v>
      </c>
      <c r="E34" s="24" t="s">
        <v>12</v>
      </c>
      <c r="F34" s="25">
        <v>7.3</v>
      </c>
      <c r="G34" s="25">
        <v>7.3</v>
      </c>
      <c r="H34" s="25">
        <v>7.3</v>
      </c>
      <c r="I34" s="13"/>
      <c r="J34" s="13"/>
      <c r="K34" s="13"/>
      <c r="L34" s="13"/>
    </row>
    <row r="35" spans="1:12" s="21" customFormat="1" ht="26.25" x14ac:dyDescent="0.25">
      <c r="A35" s="10" t="s">
        <v>348</v>
      </c>
      <c r="B35" s="8" t="s">
        <v>25</v>
      </c>
      <c r="C35" s="8" t="s">
        <v>32</v>
      </c>
      <c r="D35" s="8" t="s">
        <v>142</v>
      </c>
      <c r="E35" s="8"/>
      <c r="F35" s="9">
        <f>F36+F37+F38</f>
        <v>54408.400000000009</v>
      </c>
      <c r="G35" s="9">
        <f>G36+G37+G38</f>
        <v>44448.400000000009</v>
      </c>
      <c r="H35" s="9">
        <f>H36+H37+H38</f>
        <v>44448.400000000009</v>
      </c>
    </row>
    <row r="36" spans="1:12" s="4" customFormat="1" ht="51" x14ac:dyDescent="0.2">
      <c r="A36" s="22" t="s">
        <v>9</v>
      </c>
      <c r="B36" s="23" t="s">
        <v>25</v>
      </c>
      <c r="C36" s="23" t="s">
        <v>32</v>
      </c>
      <c r="D36" s="23" t="s">
        <v>142</v>
      </c>
      <c r="E36" s="24" t="s">
        <v>10</v>
      </c>
      <c r="F36" s="25">
        <f>24727.4+7467.7+70+321.6+30+4064.6+55-3</f>
        <v>36733.300000000003</v>
      </c>
      <c r="G36" s="25">
        <f>24727.4+7467.7+70+321.6</f>
        <v>32586.7</v>
      </c>
      <c r="H36" s="25">
        <f>24727.4+7467.7+70+321.6</f>
        <v>32586.7</v>
      </c>
    </row>
    <row r="37" spans="1:12" ht="25.5" x14ac:dyDescent="0.2">
      <c r="A37" s="27" t="s">
        <v>20</v>
      </c>
      <c r="B37" s="23" t="s">
        <v>25</v>
      </c>
      <c r="C37" s="23" t="s">
        <v>32</v>
      </c>
      <c r="D37" s="23" t="s">
        <v>142</v>
      </c>
      <c r="E37" s="24" t="s">
        <v>12</v>
      </c>
      <c r="F37" s="25">
        <f>800+980.8+300+100+50+30+2191.3+50+20+4+300+2752+8000+3409.3+10+100+500-75+250-55.1-101.2-5600-25+1794.9+3+1616.8</f>
        <v>17405.800000000003</v>
      </c>
      <c r="G37" s="25">
        <f>800+980.8+300+100+50+30+2191.3+50+20+4+300+2752+3409.3+10+100+500</f>
        <v>11597.400000000001</v>
      </c>
      <c r="H37" s="25">
        <f>800+980.8+300+100+50+30+2191.3+50+20+4+300+2752+3409.3+10+100+500</f>
        <v>11597.400000000001</v>
      </c>
    </row>
    <row r="38" spans="1:12" s="26" customFormat="1" x14ac:dyDescent="0.2">
      <c r="A38" s="27" t="s">
        <v>16</v>
      </c>
      <c r="B38" s="23" t="s">
        <v>25</v>
      </c>
      <c r="C38" s="23" t="s">
        <v>32</v>
      </c>
      <c r="D38" s="23" t="s">
        <v>142</v>
      </c>
      <c r="E38" s="23" t="s">
        <v>17</v>
      </c>
      <c r="F38" s="25">
        <f>10+154.3+50+50+5</f>
        <v>269.3</v>
      </c>
      <c r="G38" s="25">
        <f>10+154.3+50+50</f>
        <v>264.3</v>
      </c>
      <c r="H38" s="25">
        <f>10+154.3+50+50</f>
        <v>264.3</v>
      </c>
    </row>
    <row r="39" spans="1:12" s="20" customFormat="1" ht="25.5" x14ac:dyDescent="0.2">
      <c r="A39" s="10" t="s">
        <v>348</v>
      </c>
      <c r="B39" s="8" t="s">
        <v>25</v>
      </c>
      <c r="C39" s="8" t="s">
        <v>32</v>
      </c>
      <c r="D39" s="8" t="s">
        <v>143</v>
      </c>
      <c r="E39" s="8"/>
      <c r="F39" s="9">
        <f>F40+F41</f>
        <v>5158.6000000000004</v>
      </c>
      <c r="G39" s="9">
        <f>G40+G41</f>
        <v>3274.1</v>
      </c>
      <c r="H39" s="9">
        <f>H40+H41</f>
        <v>3274.1</v>
      </c>
    </row>
    <row r="40" spans="1:12" s="4" customFormat="1" ht="51" x14ac:dyDescent="0.2">
      <c r="A40" s="22" t="s">
        <v>9</v>
      </c>
      <c r="B40" s="23" t="s">
        <v>25</v>
      </c>
      <c r="C40" s="23" t="s">
        <v>32</v>
      </c>
      <c r="D40" s="8" t="s">
        <v>143</v>
      </c>
      <c r="E40" s="24" t="s">
        <v>10</v>
      </c>
      <c r="F40" s="25">
        <f>2378.7+718.4+29.8+1827.4</f>
        <v>4954.3</v>
      </c>
      <c r="G40" s="25">
        <f>2378.7+718.4+29.8</f>
        <v>3126.9</v>
      </c>
      <c r="H40" s="25">
        <f>2378.7+718.4+29.8</f>
        <v>3126.9</v>
      </c>
    </row>
    <row r="41" spans="1:12" ht="25.5" x14ac:dyDescent="0.2">
      <c r="A41" s="27" t="s">
        <v>20</v>
      </c>
      <c r="B41" s="23" t="s">
        <v>25</v>
      </c>
      <c r="C41" s="23" t="s">
        <v>32</v>
      </c>
      <c r="D41" s="8" t="s">
        <v>143</v>
      </c>
      <c r="E41" s="24" t="s">
        <v>12</v>
      </c>
      <c r="F41" s="25">
        <f>20+5+1+10+111.2+0.1+20+37</f>
        <v>204.29999999999998</v>
      </c>
      <c r="G41" s="25">
        <f>20+5+1+10+111.2</f>
        <v>147.19999999999999</v>
      </c>
      <c r="H41" s="25">
        <f>20+5+1+10+111.2</f>
        <v>147.19999999999999</v>
      </c>
    </row>
    <row r="42" spans="1:12" s="4" customFormat="1" x14ac:dyDescent="0.2">
      <c r="A42" s="14" t="s">
        <v>377</v>
      </c>
      <c r="B42" s="11" t="s">
        <v>25</v>
      </c>
      <c r="C42" s="11" t="s">
        <v>44</v>
      </c>
      <c r="D42" s="11"/>
      <c r="E42" s="11"/>
      <c r="F42" s="12">
        <f>F43</f>
        <v>196.3</v>
      </c>
      <c r="G42" s="12">
        <f t="shared" ref="G42:H43" si="4">G43</f>
        <v>0</v>
      </c>
      <c r="H42" s="12">
        <f t="shared" si="4"/>
        <v>0</v>
      </c>
    </row>
    <row r="43" spans="1:12" ht="45.75" customHeight="1" x14ac:dyDescent="0.2">
      <c r="A43" s="10" t="s">
        <v>378</v>
      </c>
      <c r="B43" s="8" t="s">
        <v>25</v>
      </c>
      <c r="C43" s="8" t="s">
        <v>44</v>
      </c>
      <c r="D43" s="8" t="s">
        <v>379</v>
      </c>
      <c r="E43" s="8"/>
      <c r="F43" s="9">
        <f>F44</f>
        <v>196.3</v>
      </c>
      <c r="G43" s="9">
        <f t="shared" si="4"/>
        <v>0</v>
      </c>
      <c r="H43" s="9">
        <f t="shared" si="4"/>
        <v>0</v>
      </c>
    </row>
    <row r="44" spans="1:12" s="26" customFormat="1" ht="25.5" x14ac:dyDescent="0.2">
      <c r="A44" s="46" t="s">
        <v>362</v>
      </c>
      <c r="B44" s="23" t="s">
        <v>25</v>
      </c>
      <c r="C44" s="23" t="s">
        <v>44</v>
      </c>
      <c r="D44" s="8" t="s">
        <v>379</v>
      </c>
      <c r="E44" s="24" t="s">
        <v>12</v>
      </c>
      <c r="F44" s="25">
        <v>196.3</v>
      </c>
      <c r="G44" s="25">
        <v>0</v>
      </c>
      <c r="H44" s="25">
        <v>0</v>
      </c>
      <c r="I44" s="13"/>
      <c r="J44" s="13"/>
      <c r="K44" s="13"/>
      <c r="L44" s="13"/>
    </row>
    <row r="45" spans="1:12" s="20" customFormat="1" ht="38.25" x14ac:dyDescent="0.2">
      <c r="A45" s="14" t="s">
        <v>73</v>
      </c>
      <c r="B45" s="11" t="s">
        <v>25</v>
      </c>
      <c r="C45" s="11" t="s">
        <v>56</v>
      </c>
      <c r="D45" s="11"/>
      <c r="E45" s="11"/>
      <c r="F45" s="12">
        <f>F46+F50</f>
        <v>2408.9</v>
      </c>
      <c r="G45" s="12">
        <f>G46+G50</f>
        <v>2115.3999999999996</v>
      </c>
      <c r="H45" s="12">
        <f>H46+H50</f>
        <v>2115.3999999999996</v>
      </c>
    </row>
    <row r="46" spans="1:12" s="4" customFormat="1" x14ac:dyDescent="0.2">
      <c r="A46" s="10" t="s">
        <v>135</v>
      </c>
      <c r="B46" s="8" t="s">
        <v>25</v>
      </c>
      <c r="C46" s="8" t="s">
        <v>56</v>
      </c>
      <c r="D46" s="8" t="s">
        <v>136</v>
      </c>
      <c r="E46" s="8"/>
      <c r="F46" s="9">
        <f>+F47+F48+F49</f>
        <v>1784.2</v>
      </c>
      <c r="G46" s="9">
        <f>+G47+G48+G49</f>
        <v>1560.1</v>
      </c>
      <c r="H46" s="9">
        <f>+H47+H48+H49</f>
        <v>1560.1</v>
      </c>
    </row>
    <row r="47" spans="1:12" ht="51" x14ac:dyDescent="0.2">
      <c r="A47" s="22" t="s">
        <v>9</v>
      </c>
      <c r="B47" s="23" t="s">
        <v>25</v>
      </c>
      <c r="C47" s="23" t="s">
        <v>56</v>
      </c>
      <c r="D47" s="23" t="s">
        <v>136</v>
      </c>
      <c r="E47" s="24" t="s">
        <v>10</v>
      </c>
      <c r="F47" s="25">
        <f>943.4+284.9+1.1+0.7+11.7+155</f>
        <v>1396.8</v>
      </c>
      <c r="G47" s="25">
        <f>943.4+284.9+1.1+0.7+11.7</f>
        <v>1241.8</v>
      </c>
      <c r="H47" s="25">
        <f>943.4+284.9+1.1+0.7+11.7</f>
        <v>1241.8</v>
      </c>
    </row>
    <row r="48" spans="1:12" ht="25.5" x14ac:dyDescent="0.2">
      <c r="A48" s="27" t="s">
        <v>20</v>
      </c>
      <c r="B48" s="23" t="s">
        <v>25</v>
      </c>
      <c r="C48" s="23" t="s">
        <v>56</v>
      </c>
      <c r="D48" s="23" t="s">
        <v>136</v>
      </c>
      <c r="E48" s="24" t="s">
        <v>12</v>
      </c>
      <c r="F48" s="25">
        <f>190.5-1.1+128.5+69.1</f>
        <v>387</v>
      </c>
      <c r="G48" s="25">
        <f>190.5-1.1+128.5</f>
        <v>317.89999999999998</v>
      </c>
      <c r="H48" s="25">
        <f>190.5-1.1+128.5</f>
        <v>317.89999999999998</v>
      </c>
    </row>
    <row r="49" spans="1:8" s="26" customFormat="1" x14ac:dyDescent="0.2">
      <c r="A49" s="27" t="s">
        <v>16</v>
      </c>
      <c r="B49" s="23" t="s">
        <v>25</v>
      </c>
      <c r="C49" s="23" t="s">
        <v>56</v>
      </c>
      <c r="D49" s="23" t="s">
        <v>136</v>
      </c>
      <c r="E49" s="23" t="s">
        <v>17</v>
      </c>
      <c r="F49" s="25">
        <f>0.2+0.2</f>
        <v>0.4</v>
      </c>
      <c r="G49" s="25">
        <f>0.2+0.2</f>
        <v>0.4</v>
      </c>
      <c r="H49" s="25">
        <f>0.2+0.2</f>
        <v>0.4</v>
      </c>
    </row>
    <row r="50" spans="1:8" x14ac:dyDescent="0.2">
      <c r="A50" s="10" t="s">
        <v>145</v>
      </c>
      <c r="B50" s="8" t="s">
        <v>25</v>
      </c>
      <c r="C50" s="8" t="s">
        <v>56</v>
      </c>
      <c r="D50" s="8" t="s">
        <v>144</v>
      </c>
      <c r="E50" s="8"/>
      <c r="F50" s="9">
        <f>F51</f>
        <v>624.69999999999993</v>
      </c>
      <c r="G50" s="9">
        <f>G51</f>
        <v>555.29999999999995</v>
      </c>
      <c r="H50" s="9">
        <f>H51</f>
        <v>555.29999999999995</v>
      </c>
    </row>
    <row r="51" spans="1:8" s="26" customFormat="1" ht="51" x14ac:dyDescent="0.2">
      <c r="A51" s="22" t="s">
        <v>9</v>
      </c>
      <c r="B51" s="23" t="s">
        <v>25</v>
      </c>
      <c r="C51" s="23" t="s">
        <v>56</v>
      </c>
      <c r="D51" s="23" t="s">
        <v>144</v>
      </c>
      <c r="E51" s="24" t="s">
        <v>10</v>
      </c>
      <c r="F51" s="25">
        <f>422.3+127.6+5.4+69.4</f>
        <v>624.69999999999993</v>
      </c>
      <c r="G51" s="25">
        <f>422.3+127.6+5.4</f>
        <v>555.29999999999995</v>
      </c>
      <c r="H51" s="25">
        <f>422.3+127.6+5.4</f>
        <v>555.29999999999995</v>
      </c>
    </row>
    <row r="52" spans="1:8" x14ac:dyDescent="0.2">
      <c r="A52" s="14" t="s">
        <v>36</v>
      </c>
      <c r="B52" s="11" t="s">
        <v>25</v>
      </c>
      <c r="C52" s="11" t="s">
        <v>35</v>
      </c>
      <c r="D52" s="11"/>
      <c r="E52" s="11"/>
      <c r="F52" s="12">
        <f t="shared" ref="F52:H53" si="5">F53</f>
        <v>1204.0999999999999</v>
      </c>
      <c r="G52" s="12">
        <f t="shared" si="5"/>
        <v>1204.0999999999999</v>
      </c>
      <c r="H52" s="12">
        <f t="shared" si="5"/>
        <v>1204.0999999999999</v>
      </c>
    </row>
    <row r="53" spans="1:8" s="26" customFormat="1" x14ac:dyDescent="0.2">
      <c r="A53" s="10" t="s">
        <v>344</v>
      </c>
      <c r="B53" s="8" t="s">
        <v>25</v>
      </c>
      <c r="C53" s="8" t="s">
        <v>35</v>
      </c>
      <c r="D53" s="8" t="s">
        <v>146</v>
      </c>
      <c r="E53" s="8"/>
      <c r="F53" s="9">
        <f t="shared" si="5"/>
        <v>1204.0999999999999</v>
      </c>
      <c r="G53" s="9">
        <f t="shared" si="5"/>
        <v>1204.0999999999999</v>
      </c>
      <c r="H53" s="9">
        <f t="shared" si="5"/>
        <v>1204.0999999999999</v>
      </c>
    </row>
    <row r="54" spans="1:8" x14ac:dyDescent="0.2">
      <c r="A54" s="27" t="s">
        <v>16</v>
      </c>
      <c r="B54" s="23" t="s">
        <v>25</v>
      </c>
      <c r="C54" s="23" t="s">
        <v>35</v>
      </c>
      <c r="D54" s="23" t="s">
        <v>146</v>
      </c>
      <c r="E54" s="23" t="s">
        <v>17</v>
      </c>
      <c r="F54" s="25">
        <f>1024.8+179.3</f>
        <v>1204.0999999999999</v>
      </c>
      <c r="G54" s="25">
        <f>1024.8+179.3</f>
        <v>1204.0999999999999</v>
      </c>
      <c r="H54" s="25">
        <f>1024.8+179.3</f>
        <v>1204.0999999999999</v>
      </c>
    </row>
    <row r="55" spans="1:8" s="26" customFormat="1" x14ac:dyDescent="0.2">
      <c r="A55" s="14" t="s">
        <v>38</v>
      </c>
      <c r="B55" s="11" t="s">
        <v>25</v>
      </c>
      <c r="C55" s="11" t="s">
        <v>67</v>
      </c>
      <c r="D55" s="11"/>
      <c r="E55" s="11"/>
      <c r="F55" s="12">
        <f>F56+F62+F64+F66+F68+F70+F72+F74+F78+F81+F83+F86+F89+F76+F92+F58+F60</f>
        <v>68250.900000000009</v>
      </c>
      <c r="G55" s="12">
        <f t="shared" ref="G55:H55" si="6">G56+G62+G64+G66+G68+G70+G72+G74+G78+G81+G83+G86+G89+G76+G92+G58+G60</f>
        <v>46911.500000000007</v>
      </c>
      <c r="H55" s="12">
        <f t="shared" si="6"/>
        <v>46911.500000000007</v>
      </c>
    </row>
    <row r="56" spans="1:8" s="26" customFormat="1" x14ac:dyDescent="0.2">
      <c r="A56" s="10" t="s">
        <v>147</v>
      </c>
      <c r="B56" s="8" t="s">
        <v>25</v>
      </c>
      <c r="C56" s="8" t="s">
        <v>67</v>
      </c>
      <c r="D56" s="8" t="s">
        <v>148</v>
      </c>
      <c r="E56" s="8"/>
      <c r="F56" s="9">
        <f>F57</f>
        <v>21361.000000000004</v>
      </c>
      <c r="G56" s="9">
        <f>G57</f>
        <v>17922.900000000001</v>
      </c>
      <c r="H56" s="9">
        <f>H57</f>
        <v>17922.900000000001</v>
      </c>
    </row>
    <row r="57" spans="1:8" s="26" customFormat="1" ht="25.5" x14ac:dyDescent="0.2">
      <c r="A57" s="27" t="s">
        <v>215</v>
      </c>
      <c r="B57" s="23" t="s">
        <v>25</v>
      </c>
      <c r="C57" s="23" t="s">
        <v>67</v>
      </c>
      <c r="D57" s="23" t="s">
        <v>148</v>
      </c>
      <c r="E57" s="23" t="s">
        <v>8</v>
      </c>
      <c r="F57" s="25">
        <f>17545.9+213+25+139+1904.8+1332.2-35.1+236.2</f>
        <v>21361.000000000004</v>
      </c>
      <c r="G57" s="25">
        <f>17545.9+213+25+139</f>
        <v>17922.900000000001</v>
      </c>
      <c r="H57" s="25">
        <f>17545.9+213+25+139</f>
        <v>17922.900000000001</v>
      </c>
    </row>
    <row r="58" spans="1:8" ht="25.5" x14ac:dyDescent="0.2">
      <c r="A58" s="5" t="s">
        <v>178</v>
      </c>
      <c r="B58" s="8" t="s">
        <v>25</v>
      </c>
      <c r="C58" s="8" t="s">
        <v>67</v>
      </c>
      <c r="D58" s="8" t="s">
        <v>177</v>
      </c>
      <c r="E58" s="1"/>
      <c r="F58" s="2">
        <f>F59</f>
        <v>60.9</v>
      </c>
      <c r="G58" s="2">
        <f>G59</f>
        <v>25.799999999999997</v>
      </c>
      <c r="H58" s="2">
        <f>H59</f>
        <v>25.799999999999997</v>
      </c>
    </row>
    <row r="59" spans="1:8" ht="25.5" x14ac:dyDescent="0.2">
      <c r="A59" s="27" t="s">
        <v>215</v>
      </c>
      <c r="B59" s="23" t="s">
        <v>25</v>
      </c>
      <c r="C59" s="23" t="s">
        <v>67</v>
      </c>
      <c r="D59" s="8" t="s">
        <v>177</v>
      </c>
      <c r="E59" s="23" t="s">
        <v>8</v>
      </c>
      <c r="F59" s="25">
        <f>10.2+15.6+35.1</f>
        <v>60.9</v>
      </c>
      <c r="G59" s="25">
        <f>10.2+15.6</f>
        <v>25.799999999999997</v>
      </c>
      <c r="H59" s="25">
        <f>10.2+15.6</f>
        <v>25.799999999999997</v>
      </c>
    </row>
    <row r="60" spans="1:8" x14ac:dyDescent="0.2">
      <c r="A60" s="10" t="s">
        <v>203</v>
      </c>
      <c r="B60" s="8" t="s">
        <v>25</v>
      </c>
      <c r="C60" s="8" t="s">
        <v>67</v>
      </c>
      <c r="D60" s="8" t="s">
        <v>202</v>
      </c>
      <c r="E60" s="8"/>
      <c r="F60" s="9">
        <f>F61</f>
        <v>13130.8</v>
      </c>
      <c r="G60" s="9">
        <f t="shared" ref="G60:H60" si="7">G61</f>
        <v>0</v>
      </c>
      <c r="H60" s="9">
        <f t="shared" si="7"/>
        <v>0</v>
      </c>
    </row>
    <row r="61" spans="1:8" ht="25.5" x14ac:dyDescent="0.2">
      <c r="A61" s="27" t="s">
        <v>74</v>
      </c>
      <c r="B61" s="23" t="s">
        <v>25</v>
      </c>
      <c r="C61" s="23" t="s">
        <v>67</v>
      </c>
      <c r="D61" s="8" t="s">
        <v>202</v>
      </c>
      <c r="E61" s="23" t="s">
        <v>15</v>
      </c>
      <c r="F61" s="25">
        <v>13130.8</v>
      </c>
      <c r="G61" s="25"/>
      <c r="H61" s="25"/>
    </row>
    <row r="62" spans="1:8" ht="38.25" x14ac:dyDescent="0.2">
      <c r="A62" s="10" t="s">
        <v>149</v>
      </c>
      <c r="B62" s="8" t="s">
        <v>25</v>
      </c>
      <c r="C62" s="8" t="s">
        <v>67</v>
      </c>
      <c r="D62" s="8" t="s">
        <v>78</v>
      </c>
      <c r="E62" s="8"/>
      <c r="F62" s="9">
        <f>F63</f>
        <v>120</v>
      </c>
      <c r="G62" s="9">
        <f>G63</f>
        <v>120</v>
      </c>
      <c r="H62" s="9">
        <f>H63</f>
        <v>120</v>
      </c>
    </row>
    <row r="63" spans="1:8" s="26" customFormat="1" ht="25.5" x14ac:dyDescent="0.2">
      <c r="A63" s="27" t="s">
        <v>215</v>
      </c>
      <c r="B63" s="23" t="s">
        <v>25</v>
      </c>
      <c r="C63" s="23" t="s">
        <v>67</v>
      </c>
      <c r="D63" s="23" t="s">
        <v>78</v>
      </c>
      <c r="E63" s="23" t="s">
        <v>8</v>
      </c>
      <c r="F63" s="25">
        <v>120</v>
      </c>
      <c r="G63" s="25">
        <v>120</v>
      </c>
      <c r="H63" s="25">
        <v>120</v>
      </c>
    </row>
    <row r="64" spans="1:8" s="26" customFormat="1" ht="25.5" x14ac:dyDescent="0.2">
      <c r="A64" s="40" t="s">
        <v>150</v>
      </c>
      <c r="B64" s="6" t="s">
        <v>25</v>
      </c>
      <c r="C64" s="8" t="s">
        <v>67</v>
      </c>
      <c r="D64" s="1" t="s">
        <v>151</v>
      </c>
      <c r="E64" s="1"/>
      <c r="F64" s="2">
        <f>F65</f>
        <v>5142.8</v>
      </c>
      <c r="G64" s="2">
        <f>G65</f>
        <v>3594.8</v>
      </c>
      <c r="H64" s="2">
        <f>H65</f>
        <v>3594.8</v>
      </c>
    </row>
    <row r="65" spans="1:11" s="26" customFormat="1" ht="25.5" x14ac:dyDescent="0.2">
      <c r="A65" s="27" t="s">
        <v>215</v>
      </c>
      <c r="B65" s="23" t="s">
        <v>25</v>
      </c>
      <c r="C65" s="23" t="s">
        <v>67</v>
      </c>
      <c r="D65" s="23" t="s">
        <v>151</v>
      </c>
      <c r="E65" s="23" t="s">
        <v>8</v>
      </c>
      <c r="F65" s="25">
        <f>3565.9+28.9+1162.1+140.8+245.1</f>
        <v>5142.8</v>
      </c>
      <c r="G65" s="25">
        <f>3565.9+28.9</f>
        <v>3594.8</v>
      </c>
      <c r="H65" s="25">
        <f>3565.9+28.9</f>
        <v>3594.8</v>
      </c>
      <c r="I65" s="13"/>
      <c r="J65" s="13"/>
      <c r="K65" s="13"/>
    </row>
    <row r="66" spans="1:11" ht="25.5" x14ac:dyDescent="0.2">
      <c r="A66" s="5" t="s">
        <v>153</v>
      </c>
      <c r="B66" s="8" t="s">
        <v>25</v>
      </c>
      <c r="C66" s="8" t="s">
        <v>67</v>
      </c>
      <c r="D66" s="8" t="s">
        <v>152</v>
      </c>
      <c r="E66" s="8"/>
      <c r="F66" s="9">
        <f>F67</f>
        <v>828</v>
      </c>
      <c r="G66" s="9">
        <f>G67</f>
        <v>828</v>
      </c>
      <c r="H66" s="9">
        <f>H67</f>
        <v>828</v>
      </c>
    </row>
    <row r="67" spans="1:11" s="26" customFormat="1" x14ac:dyDescent="0.2">
      <c r="A67" s="27" t="s">
        <v>13</v>
      </c>
      <c r="B67" s="23" t="s">
        <v>25</v>
      </c>
      <c r="C67" s="23" t="s">
        <v>67</v>
      </c>
      <c r="D67" s="23" t="s">
        <v>152</v>
      </c>
      <c r="E67" s="23" t="s">
        <v>14</v>
      </c>
      <c r="F67" s="25">
        <v>828</v>
      </c>
      <c r="G67" s="25">
        <v>828</v>
      </c>
      <c r="H67" s="25">
        <v>828</v>
      </c>
      <c r="I67" s="13"/>
      <c r="J67" s="13"/>
      <c r="K67" s="13"/>
    </row>
    <row r="68" spans="1:11" x14ac:dyDescent="0.2">
      <c r="A68" s="10" t="s">
        <v>155</v>
      </c>
      <c r="B68" s="8" t="s">
        <v>25</v>
      </c>
      <c r="C68" s="8" t="s">
        <v>67</v>
      </c>
      <c r="D68" s="8" t="s">
        <v>154</v>
      </c>
      <c r="E68" s="8"/>
      <c r="F68" s="9">
        <f>F69</f>
        <v>4617.3</v>
      </c>
      <c r="G68" s="9">
        <f>G69</f>
        <v>3166.1</v>
      </c>
      <c r="H68" s="9">
        <f>H69</f>
        <v>3166.1</v>
      </c>
    </row>
    <row r="69" spans="1:11" s="26" customFormat="1" x14ac:dyDescent="0.2">
      <c r="A69" s="27" t="s">
        <v>13</v>
      </c>
      <c r="B69" s="23" t="s">
        <v>25</v>
      </c>
      <c r="C69" s="23" t="s">
        <v>67</v>
      </c>
      <c r="D69" s="23" t="s">
        <v>154</v>
      </c>
      <c r="E69" s="23" t="s">
        <v>14</v>
      </c>
      <c r="F69" s="25">
        <f>3166.1+1451.2</f>
        <v>4617.3</v>
      </c>
      <c r="G69" s="25">
        <v>3166.1</v>
      </c>
      <c r="H69" s="25">
        <v>3166.1</v>
      </c>
      <c r="I69" s="13"/>
      <c r="J69" s="13"/>
      <c r="K69" s="13"/>
    </row>
    <row r="70" spans="1:11" s="4" customFormat="1" x14ac:dyDescent="0.2">
      <c r="A70" s="10" t="s">
        <v>157</v>
      </c>
      <c r="B70" s="8" t="s">
        <v>25</v>
      </c>
      <c r="C70" s="8" t="s">
        <v>67</v>
      </c>
      <c r="D70" s="8" t="s">
        <v>156</v>
      </c>
      <c r="E70" s="8"/>
      <c r="F70" s="9">
        <f>F71</f>
        <v>1579.6</v>
      </c>
      <c r="G70" s="9">
        <f>G71</f>
        <v>1709.5</v>
      </c>
      <c r="H70" s="9">
        <f>H71</f>
        <v>1709.5</v>
      </c>
    </row>
    <row r="71" spans="1:11" s="3" customFormat="1" x14ac:dyDescent="0.2">
      <c r="A71" s="27" t="s">
        <v>16</v>
      </c>
      <c r="B71" s="23" t="s">
        <v>25</v>
      </c>
      <c r="C71" s="23" t="s">
        <v>67</v>
      </c>
      <c r="D71" s="23" t="s">
        <v>156</v>
      </c>
      <c r="E71" s="23" t="s">
        <v>17</v>
      </c>
      <c r="F71" s="25">
        <f>1838.9-129.4-129.9</f>
        <v>1579.6</v>
      </c>
      <c r="G71" s="25">
        <f>1838.9-129.4</f>
        <v>1709.5</v>
      </c>
      <c r="H71" s="25">
        <f>1838.9-129.4</f>
        <v>1709.5</v>
      </c>
    </row>
    <row r="72" spans="1:11" s="3" customFormat="1" ht="30.75" customHeight="1" x14ac:dyDescent="0.2">
      <c r="A72" s="10" t="s">
        <v>158</v>
      </c>
      <c r="B72" s="8" t="s">
        <v>25</v>
      </c>
      <c r="C72" s="8" t="s">
        <v>67</v>
      </c>
      <c r="D72" s="1" t="s">
        <v>159</v>
      </c>
      <c r="E72" s="1"/>
      <c r="F72" s="2">
        <f>F73</f>
        <v>200</v>
      </c>
      <c r="G72" s="2">
        <f>G73</f>
        <v>200</v>
      </c>
      <c r="H72" s="2">
        <f>H73</f>
        <v>200</v>
      </c>
    </row>
    <row r="73" spans="1:11" s="3" customFormat="1" ht="25.5" x14ac:dyDescent="0.2">
      <c r="A73" s="27" t="s">
        <v>20</v>
      </c>
      <c r="B73" s="23" t="s">
        <v>25</v>
      </c>
      <c r="C73" s="23" t="s">
        <v>67</v>
      </c>
      <c r="D73" s="23" t="s">
        <v>159</v>
      </c>
      <c r="E73" s="24" t="s">
        <v>12</v>
      </c>
      <c r="F73" s="25">
        <v>200</v>
      </c>
      <c r="G73" s="25">
        <v>200</v>
      </c>
      <c r="H73" s="25">
        <v>200</v>
      </c>
    </row>
    <row r="74" spans="1:11" s="3" customFormat="1" x14ac:dyDescent="0.2">
      <c r="A74" s="10" t="s">
        <v>161</v>
      </c>
      <c r="B74" s="8" t="s">
        <v>25</v>
      </c>
      <c r="C74" s="8" t="s">
        <v>67</v>
      </c>
      <c r="D74" s="1" t="s">
        <v>160</v>
      </c>
      <c r="E74" s="1"/>
      <c r="F74" s="2">
        <f>F75</f>
        <v>1000</v>
      </c>
      <c r="G74" s="2">
        <f>G75</f>
        <v>1000</v>
      </c>
      <c r="H74" s="2">
        <f>H75</f>
        <v>1000</v>
      </c>
    </row>
    <row r="75" spans="1:11" s="3" customFormat="1" ht="25.5" x14ac:dyDescent="0.2">
      <c r="A75" s="27" t="s">
        <v>20</v>
      </c>
      <c r="B75" s="23" t="s">
        <v>25</v>
      </c>
      <c r="C75" s="23" t="s">
        <v>67</v>
      </c>
      <c r="D75" s="23" t="s">
        <v>160</v>
      </c>
      <c r="E75" s="24" t="s">
        <v>12</v>
      </c>
      <c r="F75" s="25">
        <v>1000</v>
      </c>
      <c r="G75" s="25">
        <v>1000</v>
      </c>
      <c r="H75" s="25">
        <v>1000</v>
      </c>
    </row>
    <row r="76" spans="1:11" s="3" customFormat="1" ht="25.5" x14ac:dyDescent="0.2">
      <c r="A76" s="10" t="s">
        <v>163</v>
      </c>
      <c r="B76" s="8" t="s">
        <v>25</v>
      </c>
      <c r="C76" s="8" t="s">
        <v>67</v>
      </c>
      <c r="D76" s="8" t="s">
        <v>162</v>
      </c>
      <c r="E76" s="8"/>
      <c r="F76" s="9">
        <f>F77</f>
        <v>200</v>
      </c>
      <c r="G76" s="9">
        <f>G77</f>
        <v>200</v>
      </c>
      <c r="H76" s="9">
        <f>H77</f>
        <v>200</v>
      </c>
    </row>
    <row r="77" spans="1:11" s="4" customFormat="1" ht="25.5" x14ac:dyDescent="0.2">
      <c r="A77" s="27" t="s">
        <v>20</v>
      </c>
      <c r="B77" s="23" t="s">
        <v>25</v>
      </c>
      <c r="C77" s="23" t="s">
        <v>67</v>
      </c>
      <c r="D77" s="23" t="s">
        <v>162</v>
      </c>
      <c r="E77" s="24" t="s">
        <v>12</v>
      </c>
      <c r="F77" s="25">
        <v>200</v>
      </c>
      <c r="G77" s="25">
        <v>200</v>
      </c>
      <c r="H77" s="25">
        <v>200</v>
      </c>
    </row>
    <row r="78" spans="1:11" s="7" customFormat="1" x14ac:dyDescent="0.2">
      <c r="A78" s="10" t="s">
        <v>345</v>
      </c>
      <c r="B78" s="8" t="s">
        <v>25</v>
      </c>
      <c r="C78" s="8" t="s">
        <v>67</v>
      </c>
      <c r="D78" s="1" t="s">
        <v>164</v>
      </c>
      <c r="E78" s="1"/>
      <c r="F78" s="2">
        <f>F80+F79</f>
        <v>1400</v>
      </c>
      <c r="G78" s="2">
        <f t="shared" ref="G78:H78" si="8">G80+G79</f>
        <v>1400</v>
      </c>
      <c r="H78" s="2">
        <f t="shared" si="8"/>
        <v>1400</v>
      </c>
    </row>
    <row r="79" spans="1:11" s="26" customFormat="1" ht="25.5" x14ac:dyDescent="0.2">
      <c r="A79" s="27" t="s">
        <v>20</v>
      </c>
      <c r="B79" s="23" t="s">
        <v>25</v>
      </c>
      <c r="C79" s="23" t="s">
        <v>67</v>
      </c>
      <c r="D79" s="23" t="s">
        <v>164</v>
      </c>
      <c r="E79" s="24" t="s">
        <v>12</v>
      </c>
      <c r="F79" s="25">
        <v>800</v>
      </c>
      <c r="G79" s="25">
        <v>800</v>
      </c>
      <c r="H79" s="25">
        <v>800</v>
      </c>
    </row>
    <row r="80" spans="1:11" s="26" customFormat="1" x14ac:dyDescent="0.2">
      <c r="A80" s="27" t="s">
        <v>16</v>
      </c>
      <c r="B80" s="23" t="s">
        <v>25</v>
      </c>
      <c r="C80" s="23" t="s">
        <v>67</v>
      </c>
      <c r="D80" s="23" t="s">
        <v>164</v>
      </c>
      <c r="E80" s="24" t="s">
        <v>17</v>
      </c>
      <c r="F80" s="25">
        <v>600</v>
      </c>
      <c r="G80" s="25">
        <v>600</v>
      </c>
      <c r="H80" s="25">
        <v>600</v>
      </c>
    </row>
    <row r="81" spans="1:11" s="7" customFormat="1" x14ac:dyDescent="0.2">
      <c r="A81" s="10" t="s">
        <v>165</v>
      </c>
      <c r="B81" s="8" t="s">
        <v>25</v>
      </c>
      <c r="C81" s="8" t="s">
        <v>67</v>
      </c>
      <c r="D81" s="1" t="s">
        <v>166</v>
      </c>
      <c r="E81" s="1"/>
      <c r="F81" s="2">
        <f>F82</f>
        <v>600</v>
      </c>
      <c r="G81" s="2">
        <f>G82</f>
        <v>600</v>
      </c>
      <c r="H81" s="2">
        <f>H82</f>
        <v>600</v>
      </c>
    </row>
    <row r="82" spans="1:11" s="26" customFormat="1" ht="25.5" x14ac:dyDescent="0.2">
      <c r="A82" s="27" t="s">
        <v>20</v>
      </c>
      <c r="B82" s="23" t="s">
        <v>25</v>
      </c>
      <c r="C82" s="23" t="s">
        <v>67</v>
      </c>
      <c r="D82" s="23" t="s">
        <v>166</v>
      </c>
      <c r="E82" s="24" t="s">
        <v>12</v>
      </c>
      <c r="F82" s="25">
        <v>600</v>
      </c>
      <c r="G82" s="25">
        <v>600</v>
      </c>
      <c r="H82" s="25">
        <v>600</v>
      </c>
    </row>
    <row r="83" spans="1:11" s="20" customFormat="1" ht="15" x14ac:dyDescent="0.2">
      <c r="A83" s="10" t="s">
        <v>167</v>
      </c>
      <c r="B83" s="8" t="s">
        <v>25</v>
      </c>
      <c r="C83" s="8" t="s">
        <v>67</v>
      </c>
      <c r="D83" s="1" t="s">
        <v>168</v>
      </c>
      <c r="E83" s="1"/>
      <c r="F83" s="2">
        <f>F84+F85</f>
        <v>1039.7</v>
      </c>
      <c r="G83" s="2">
        <f>G84+G85</f>
        <v>1039.7</v>
      </c>
      <c r="H83" s="2">
        <f>H84+H85</f>
        <v>1039.7</v>
      </c>
    </row>
    <row r="84" spans="1:11" s="26" customFormat="1" ht="25.5" x14ac:dyDescent="0.2">
      <c r="A84" s="27" t="s">
        <v>20</v>
      </c>
      <c r="B84" s="23" t="s">
        <v>25</v>
      </c>
      <c r="C84" s="23" t="s">
        <v>67</v>
      </c>
      <c r="D84" s="23" t="s">
        <v>168</v>
      </c>
      <c r="E84" s="24" t="s">
        <v>12</v>
      </c>
      <c r="F84" s="25">
        <v>100</v>
      </c>
      <c r="G84" s="25">
        <v>100</v>
      </c>
      <c r="H84" s="25">
        <v>100</v>
      </c>
    </row>
    <row r="85" spans="1:11" s="4" customFormat="1" x14ac:dyDescent="0.2">
      <c r="A85" s="27" t="s">
        <v>16</v>
      </c>
      <c r="B85" s="8" t="s">
        <v>25</v>
      </c>
      <c r="C85" s="8" t="s">
        <v>67</v>
      </c>
      <c r="D85" s="23" t="s">
        <v>168</v>
      </c>
      <c r="E85" s="23" t="s">
        <v>17</v>
      </c>
      <c r="F85" s="25">
        <v>939.7</v>
      </c>
      <c r="G85" s="25">
        <v>939.7</v>
      </c>
      <c r="H85" s="25">
        <v>939.7</v>
      </c>
    </row>
    <row r="86" spans="1:11" ht="25.5" x14ac:dyDescent="0.2">
      <c r="A86" s="10" t="s">
        <v>169</v>
      </c>
      <c r="B86" s="8" t="s">
        <v>25</v>
      </c>
      <c r="C86" s="8" t="s">
        <v>67</v>
      </c>
      <c r="D86" s="1" t="s">
        <v>170</v>
      </c>
      <c r="E86" s="8"/>
      <c r="F86" s="9">
        <f>F87+F88</f>
        <v>8718.3000000000011</v>
      </c>
      <c r="G86" s="9">
        <f t="shared" ref="G86:H86" si="9">G87+G88</f>
        <v>7778.8000000000011</v>
      </c>
      <c r="H86" s="9">
        <f t="shared" si="9"/>
        <v>7778.8000000000011</v>
      </c>
    </row>
    <row r="87" spans="1:11" s="26" customFormat="1" ht="51" x14ac:dyDescent="0.2">
      <c r="A87" s="22" t="s">
        <v>9</v>
      </c>
      <c r="B87" s="23" t="s">
        <v>25</v>
      </c>
      <c r="C87" s="23" t="s">
        <v>67</v>
      </c>
      <c r="D87" s="23" t="s">
        <v>170</v>
      </c>
      <c r="E87" s="24" t="s">
        <v>10</v>
      </c>
      <c r="F87" s="25">
        <f>5397.6+1630.1+67.6+886.9</f>
        <v>7982.2000000000007</v>
      </c>
      <c r="G87" s="25">
        <f>5397.6+1630.1+67.6</f>
        <v>7095.3000000000011</v>
      </c>
      <c r="H87" s="25">
        <f>5397.6+1630.1+67.6</f>
        <v>7095.3000000000011</v>
      </c>
      <c r="I87" s="13"/>
      <c r="J87" s="13"/>
      <c r="K87" s="13"/>
    </row>
    <row r="88" spans="1:11" s="26" customFormat="1" ht="25.5" x14ac:dyDescent="0.2">
      <c r="A88" s="27" t="s">
        <v>20</v>
      </c>
      <c r="B88" s="23" t="s">
        <v>25</v>
      </c>
      <c r="C88" s="23" t="s">
        <v>67</v>
      </c>
      <c r="D88" s="23" t="s">
        <v>170</v>
      </c>
      <c r="E88" s="24" t="s">
        <v>12</v>
      </c>
      <c r="F88" s="25">
        <f>683.5+52.6</f>
        <v>736.1</v>
      </c>
      <c r="G88" s="25">
        <v>683.5</v>
      </c>
      <c r="H88" s="25">
        <v>683.5</v>
      </c>
    </row>
    <row r="89" spans="1:11" s="26" customFormat="1" ht="89.25" x14ac:dyDescent="0.2">
      <c r="A89" s="37" t="s">
        <v>173</v>
      </c>
      <c r="B89" s="8" t="s">
        <v>25</v>
      </c>
      <c r="C89" s="8" t="s">
        <v>67</v>
      </c>
      <c r="D89" s="8" t="s">
        <v>171</v>
      </c>
      <c r="E89" s="8"/>
      <c r="F89" s="9">
        <f>F90+F91</f>
        <v>8018.1</v>
      </c>
      <c r="G89" s="9">
        <f>G90+G91</f>
        <v>7091.5</v>
      </c>
      <c r="H89" s="9">
        <f>H90+H91</f>
        <v>7091.5</v>
      </c>
    </row>
    <row r="90" spans="1:11" s="26" customFormat="1" ht="51" x14ac:dyDescent="0.2">
      <c r="A90" s="22" t="s">
        <v>9</v>
      </c>
      <c r="B90" s="23" t="s">
        <v>25</v>
      </c>
      <c r="C90" s="23" t="s">
        <v>67</v>
      </c>
      <c r="D90" s="23" t="s">
        <v>171</v>
      </c>
      <c r="E90" s="24" t="s">
        <v>10</v>
      </c>
      <c r="F90" s="25">
        <f>5361+1619+67.1+880.9</f>
        <v>7928</v>
      </c>
      <c r="G90" s="25">
        <f>5361+1619+67.1</f>
        <v>7047.1</v>
      </c>
      <c r="H90" s="25">
        <f>5361+1619+67.1</f>
        <v>7047.1</v>
      </c>
    </row>
    <row r="91" spans="1:11" ht="25.5" x14ac:dyDescent="0.2">
      <c r="A91" s="27" t="s">
        <v>20</v>
      </c>
      <c r="B91" s="23" t="s">
        <v>25</v>
      </c>
      <c r="C91" s="23" t="s">
        <v>67</v>
      </c>
      <c r="D91" s="23" t="s">
        <v>171</v>
      </c>
      <c r="E91" s="24" t="s">
        <v>12</v>
      </c>
      <c r="F91" s="25">
        <f>34.1+8.3+2+45.7</f>
        <v>90.100000000000009</v>
      </c>
      <c r="G91" s="25">
        <f>34.1+8.3+2</f>
        <v>44.400000000000006</v>
      </c>
      <c r="H91" s="25">
        <f>34.1+8.3+2</f>
        <v>44.400000000000006</v>
      </c>
    </row>
    <row r="92" spans="1:11" s="26" customFormat="1" ht="51" x14ac:dyDescent="0.2">
      <c r="A92" s="37" t="s">
        <v>174</v>
      </c>
      <c r="B92" s="8" t="s">
        <v>25</v>
      </c>
      <c r="C92" s="8" t="s">
        <v>67</v>
      </c>
      <c r="D92" s="8" t="s">
        <v>172</v>
      </c>
      <c r="E92" s="8"/>
      <c r="F92" s="9">
        <f>F93</f>
        <v>234.4</v>
      </c>
      <c r="G92" s="9">
        <f>G93</f>
        <v>234.4</v>
      </c>
      <c r="H92" s="9">
        <f>H93</f>
        <v>234.4</v>
      </c>
    </row>
    <row r="93" spans="1:11" ht="25.5" x14ac:dyDescent="0.2">
      <c r="A93" s="27" t="s">
        <v>20</v>
      </c>
      <c r="B93" s="23" t="s">
        <v>25</v>
      </c>
      <c r="C93" s="23" t="s">
        <v>67</v>
      </c>
      <c r="D93" s="23" t="s">
        <v>172</v>
      </c>
      <c r="E93" s="24" t="s">
        <v>12</v>
      </c>
      <c r="F93" s="25">
        <v>234.4</v>
      </c>
      <c r="G93" s="25">
        <v>234.4</v>
      </c>
      <c r="H93" s="25">
        <v>234.4</v>
      </c>
    </row>
    <row r="94" spans="1:11" s="26" customFormat="1" ht="31.5" x14ac:dyDescent="0.25">
      <c r="A94" s="35" t="s">
        <v>5</v>
      </c>
      <c r="B94" s="33" t="s">
        <v>30</v>
      </c>
      <c r="C94" s="33" t="s">
        <v>26</v>
      </c>
      <c r="D94" s="33"/>
      <c r="E94" s="33"/>
      <c r="F94" s="34">
        <f>F95</f>
        <v>7565.7</v>
      </c>
      <c r="G94" s="34">
        <f>G95</f>
        <v>6091.7999999999993</v>
      </c>
      <c r="H94" s="34">
        <f>H95</f>
        <v>6091.7999999999993</v>
      </c>
    </row>
    <row r="95" spans="1:11" s="26" customFormat="1" ht="38.25" x14ac:dyDescent="0.2">
      <c r="A95" s="14" t="s">
        <v>21</v>
      </c>
      <c r="B95" s="41" t="s">
        <v>30</v>
      </c>
      <c r="C95" s="11" t="s">
        <v>39</v>
      </c>
      <c r="D95" s="11"/>
      <c r="E95" s="11"/>
      <c r="F95" s="12">
        <f>F100+F96+F102+F104+F106</f>
        <v>7565.7</v>
      </c>
      <c r="G95" s="12">
        <f t="shared" ref="G95:H95" si="10">G100+G96+G102+G104+G106</f>
        <v>6091.7999999999993</v>
      </c>
      <c r="H95" s="12">
        <f t="shared" si="10"/>
        <v>6091.7999999999993</v>
      </c>
    </row>
    <row r="96" spans="1:11" s="26" customFormat="1" ht="38.25" x14ac:dyDescent="0.2">
      <c r="A96" s="37" t="s">
        <v>175</v>
      </c>
      <c r="B96" s="8" t="s">
        <v>30</v>
      </c>
      <c r="C96" s="8" t="s">
        <v>39</v>
      </c>
      <c r="D96" s="8" t="s">
        <v>176</v>
      </c>
      <c r="E96" s="8"/>
      <c r="F96" s="9">
        <f>F97+F98+F99</f>
        <v>4848.6000000000004</v>
      </c>
      <c r="G96" s="9">
        <f>G97+G98+G99</f>
        <v>3906.3</v>
      </c>
      <c r="H96" s="9">
        <f>H97+H98+H99</f>
        <v>3906.3</v>
      </c>
    </row>
    <row r="97" spans="1:8" ht="51" x14ac:dyDescent="0.2">
      <c r="A97" s="22" t="s">
        <v>9</v>
      </c>
      <c r="B97" s="23" t="s">
        <v>30</v>
      </c>
      <c r="C97" s="23" t="s">
        <v>39</v>
      </c>
      <c r="D97" s="23" t="s">
        <v>176</v>
      </c>
      <c r="E97" s="24" t="s">
        <v>10</v>
      </c>
      <c r="F97" s="25">
        <f>3261.1+31.4+411.6</f>
        <v>3704.1</v>
      </c>
      <c r="G97" s="25">
        <f>3261.1+31.4</f>
        <v>3292.5</v>
      </c>
      <c r="H97" s="25">
        <f>3261.1+31.4</f>
        <v>3292.5</v>
      </c>
    </row>
    <row r="98" spans="1:8" s="26" customFormat="1" ht="25.5" x14ac:dyDescent="0.2">
      <c r="A98" s="27" t="s">
        <v>20</v>
      </c>
      <c r="B98" s="23" t="s">
        <v>30</v>
      </c>
      <c r="C98" s="23" t="s">
        <v>39</v>
      </c>
      <c r="D98" s="23" t="s">
        <v>176</v>
      </c>
      <c r="E98" s="24" t="s">
        <v>12</v>
      </c>
      <c r="F98" s="25">
        <f>170.8+45+148.6+30+209-20.3+543.4</f>
        <v>1126.5</v>
      </c>
      <c r="G98" s="25">
        <f>170.8+45+148.6+30+209</f>
        <v>603.4</v>
      </c>
      <c r="H98" s="25">
        <f>170.8+45+148.6+30+209</f>
        <v>603.4</v>
      </c>
    </row>
    <row r="99" spans="1:8" s="4" customFormat="1" x14ac:dyDescent="0.2">
      <c r="A99" s="27" t="s">
        <v>16</v>
      </c>
      <c r="B99" s="23" t="s">
        <v>30</v>
      </c>
      <c r="C99" s="23" t="s">
        <v>39</v>
      </c>
      <c r="D99" s="23" t="s">
        <v>176</v>
      </c>
      <c r="E99" s="23" t="s">
        <v>17</v>
      </c>
      <c r="F99" s="25">
        <f>10.4+7.6</f>
        <v>18</v>
      </c>
      <c r="G99" s="25">
        <v>10.4</v>
      </c>
      <c r="H99" s="25">
        <v>10.4</v>
      </c>
    </row>
    <row r="100" spans="1:8" s="26" customFormat="1" x14ac:dyDescent="0.2">
      <c r="A100" s="43" t="s">
        <v>325</v>
      </c>
      <c r="B100" s="8" t="s">
        <v>30</v>
      </c>
      <c r="C100" s="8" t="s">
        <v>39</v>
      </c>
      <c r="D100" s="8" t="s">
        <v>324</v>
      </c>
      <c r="E100" s="8"/>
      <c r="F100" s="9">
        <f>F101</f>
        <v>2581.9</v>
      </c>
      <c r="G100" s="9">
        <f>G101</f>
        <v>2070.6</v>
      </c>
      <c r="H100" s="9">
        <f>H101</f>
        <v>2070.6</v>
      </c>
    </row>
    <row r="101" spans="1:8" s="26" customFormat="1" ht="25.5" x14ac:dyDescent="0.2">
      <c r="A101" s="27" t="s">
        <v>215</v>
      </c>
      <c r="B101" s="23" t="s">
        <v>30</v>
      </c>
      <c r="C101" s="23" t="s">
        <v>39</v>
      </c>
      <c r="D101" s="23" t="s">
        <v>324</v>
      </c>
      <c r="E101" s="24" t="s">
        <v>8</v>
      </c>
      <c r="F101" s="25">
        <f>2054.4+16.2+212.6+284.8+13.9</f>
        <v>2581.9</v>
      </c>
      <c r="G101" s="25">
        <f>2054.4+16.2</f>
        <v>2070.6</v>
      </c>
      <c r="H101" s="25">
        <f>2054.4+16.2</f>
        <v>2070.6</v>
      </c>
    </row>
    <row r="102" spans="1:8" ht="25.5" x14ac:dyDescent="0.2">
      <c r="A102" s="5" t="s">
        <v>178</v>
      </c>
      <c r="B102" s="8" t="s">
        <v>30</v>
      </c>
      <c r="C102" s="8" t="s">
        <v>39</v>
      </c>
      <c r="D102" s="8" t="s">
        <v>177</v>
      </c>
      <c r="E102" s="1"/>
      <c r="F102" s="2">
        <f>F103</f>
        <v>1</v>
      </c>
      <c r="G102" s="2">
        <f>G103</f>
        <v>1</v>
      </c>
      <c r="H102" s="2">
        <f>H103</f>
        <v>1</v>
      </c>
    </row>
    <row r="103" spans="1:8" s="4" customFormat="1" ht="25.5" x14ac:dyDescent="0.2">
      <c r="A103" s="27" t="s">
        <v>20</v>
      </c>
      <c r="B103" s="23" t="s">
        <v>30</v>
      </c>
      <c r="C103" s="23" t="s">
        <v>39</v>
      </c>
      <c r="D103" s="23" t="s">
        <v>177</v>
      </c>
      <c r="E103" s="24" t="s">
        <v>12</v>
      </c>
      <c r="F103" s="25">
        <v>1</v>
      </c>
      <c r="G103" s="25">
        <v>1</v>
      </c>
      <c r="H103" s="25">
        <v>1</v>
      </c>
    </row>
    <row r="104" spans="1:8" x14ac:dyDescent="0.2">
      <c r="A104" s="5" t="s">
        <v>180</v>
      </c>
      <c r="B104" s="8" t="s">
        <v>30</v>
      </c>
      <c r="C104" s="8" t="s">
        <v>39</v>
      </c>
      <c r="D104" s="8" t="s">
        <v>179</v>
      </c>
      <c r="E104" s="1"/>
      <c r="F104" s="2">
        <f>F105</f>
        <v>100</v>
      </c>
      <c r="G104" s="2">
        <f>G105</f>
        <v>80.900000000000006</v>
      </c>
      <c r="H104" s="2">
        <f>H105</f>
        <v>80.900000000000006</v>
      </c>
    </row>
    <row r="105" spans="1:8" s="26" customFormat="1" ht="25.5" x14ac:dyDescent="0.2">
      <c r="A105" s="27" t="s">
        <v>20</v>
      </c>
      <c r="B105" s="23" t="s">
        <v>30</v>
      </c>
      <c r="C105" s="23" t="s">
        <v>39</v>
      </c>
      <c r="D105" s="23" t="s">
        <v>179</v>
      </c>
      <c r="E105" s="24" t="s">
        <v>12</v>
      </c>
      <c r="F105" s="25">
        <f>80.9+19.1</f>
        <v>100</v>
      </c>
      <c r="G105" s="25">
        <v>80.900000000000006</v>
      </c>
      <c r="H105" s="25">
        <v>80.900000000000006</v>
      </c>
    </row>
    <row r="106" spans="1:8" ht="25.5" x14ac:dyDescent="0.2">
      <c r="A106" s="5" t="s">
        <v>182</v>
      </c>
      <c r="B106" s="8" t="s">
        <v>30</v>
      </c>
      <c r="C106" s="8" t="s">
        <v>39</v>
      </c>
      <c r="D106" s="8" t="s">
        <v>181</v>
      </c>
      <c r="E106" s="1"/>
      <c r="F106" s="2">
        <f>F107</f>
        <v>34.200000000000003</v>
      </c>
      <c r="G106" s="2">
        <f>G107</f>
        <v>33</v>
      </c>
      <c r="H106" s="2">
        <f>H107</f>
        <v>33</v>
      </c>
    </row>
    <row r="107" spans="1:8" s="26" customFormat="1" x14ac:dyDescent="0.2">
      <c r="A107" s="27" t="s">
        <v>13</v>
      </c>
      <c r="B107" s="23" t="s">
        <v>30</v>
      </c>
      <c r="C107" s="23" t="s">
        <v>39</v>
      </c>
      <c r="D107" s="8" t="s">
        <v>181</v>
      </c>
      <c r="E107" s="24" t="s">
        <v>14</v>
      </c>
      <c r="F107" s="25">
        <f>33+1.2</f>
        <v>34.200000000000003</v>
      </c>
      <c r="G107" s="25">
        <v>33</v>
      </c>
      <c r="H107" s="25">
        <v>33</v>
      </c>
    </row>
    <row r="108" spans="1:8" ht="15.75" x14ac:dyDescent="0.25">
      <c r="A108" s="35" t="s">
        <v>40</v>
      </c>
      <c r="B108" s="33" t="s">
        <v>32</v>
      </c>
      <c r="C108" s="33" t="s">
        <v>26</v>
      </c>
      <c r="D108" s="33"/>
      <c r="E108" s="33"/>
      <c r="F108" s="34">
        <f>F109+F112+F123</f>
        <v>248068</v>
      </c>
      <c r="G108" s="34">
        <f t="shared" ref="G108:H108" si="11">G109+G112+G123</f>
        <v>65004.9</v>
      </c>
      <c r="H108" s="34">
        <f t="shared" si="11"/>
        <v>44419.200000000004</v>
      </c>
    </row>
    <row r="109" spans="1:8" s="4" customFormat="1" x14ac:dyDescent="0.2">
      <c r="A109" s="14" t="s">
        <v>41</v>
      </c>
      <c r="B109" s="11" t="s">
        <v>32</v>
      </c>
      <c r="C109" s="11" t="s">
        <v>28</v>
      </c>
      <c r="D109" s="11"/>
      <c r="E109" s="11"/>
      <c r="F109" s="12">
        <f>F110</f>
        <v>45951.600000000006</v>
      </c>
      <c r="G109" s="12">
        <f t="shared" ref="G109:H109" si="12">G110</f>
        <v>0</v>
      </c>
      <c r="H109" s="12">
        <f t="shared" si="12"/>
        <v>0</v>
      </c>
    </row>
    <row r="110" spans="1:8" s="26" customFormat="1" ht="38.25" x14ac:dyDescent="0.2">
      <c r="A110" s="10" t="s">
        <v>373</v>
      </c>
      <c r="B110" s="8" t="s">
        <v>32</v>
      </c>
      <c r="C110" s="8" t="s">
        <v>28</v>
      </c>
      <c r="D110" s="8" t="s">
        <v>184</v>
      </c>
      <c r="E110" s="8"/>
      <c r="F110" s="9">
        <f>F111</f>
        <v>45951.600000000006</v>
      </c>
      <c r="G110" s="9">
        <f>G111</f>
        <v>0</v>
      </c>
      <c r="H110" s="9">
        <f>H111</f>
        <v>0</v>
      </c>
    </row>
    <row r="111" spans="1:8" s="26" customFormat="1" x14ac:dyDescent="0.2">
      <c r="A111" s="27" t="s">
        <v>16</v>
      </c>
      <c r="B111" s="23" t="s">
        <v>32</v>
      </c>
      <c r="C111" s="23" t="s">
        <v>28</v>
      </c>
      <c r="D111" s="23" t="s">
        <v>184</v>
      </c>
      <c r="E111" s="23" t="s">
        <v>17</v>
      </c>
      <c r="F111" s="25">
        <f>34883.8+11067.8</f>
        <v>45951.600000000006</v>
      </c>
      <c r="G111" s="25"/>
      <c r="H111" s="25"/>
    </row>
    <row r="112" spans="1:8" s="65" customFormat="1" x14ac:dyDescent="0.2">
      <c r="A112" s="62" t="s">
        <v>71</v>
      </c>
      <c r="B112" s="63" t="s">
        <v>32</v>
      </c>
      <c r="C112" s="63" t="s">
        <v>39</v>
      </c>
      <c r="D112" s="63"/>
      <c r="E112" s="63"/>
      <c r="F112" s="64">
        <f>F117+F121+F119+F113+F115</f>
        <v>199745.5</v>
      </c>
      <c r="G112" s="64">
        <f t="shared" ref="G112:H112" si="13">G117+G121+G119+G113+G115</f>
        <v>62634</v>
      </c>
      <c r="H112" s="64">
        <f t="shared" si="13"/>
        <v>42048.3</v>
      </c>
    </row>
    <row r="113" spans="1:15" s="65" customFormat="1" ht="69" customHeight="1" x14ac:dyDescent="0.2">
      <c r="A113" s="70" t="s">
        <v>393</v>
      </c>
      <c r="B113" s="71" t="s">
        <v>32</v>
      </c>
      <c r="C113" s="71" t="s">
        <v>39</v>
      </c>
      <c r="D113" s="71" t="s">
        <v>394</v>
      </c>
      <c r="E113" s="71"/>
      <c r="F113" s="72">
        <f>F114</f>
        <v>85000</v>
      </c>
      <c r="G113" s="72">
        <f>G114</f>
        <v>0</v>
      </c>
      <c r="H113" s="72">
        <f>H114</f>
        <v>0</v>
      </c>
      <c r="M113" s="69"/>
      <c r="N113" s="69"/>
    </row>
    <row r="114" spans="1:15" s="69" customFormat="1" ht="25.5" x14ac:dyDescent="0.2">
      <c r="A114" s="66" t="s">
        <v>215</v>
      </c>
      <c r="B114" s="67" t="s">
        <v>32</v>
      </c>
      <c r="C114" s="67" t="s">
        <v>39</v>
      </c>
      <c r="D114" s="67" t="s">
        <v>394</v>
      </c>
      <c r="E114" s="67" t="s">
        <v>8</v>
      </c>
      <c r="F114" s="68">
        <f>30000+55000</f>
        <v>85000</v>
      </c>
      <c r="G114" s="68">
        <v>0</v>
      </c>
      <c r="H114" s="68">
        <v>0</v>
      </c>
      <c r="I114" s="65"/>
      <c r="J114" s="65"/>
      <c r="K114" s="65"/>
      <c r="L114" s="65"/>
      <c r="M114" s="65"/>
      <c r="N114" s="65"/>
    </row>
    <row r="115" spans="1:15" ht="69" customHeight="1" x14ac:dyDescent="0.2">
      <c r="A115" s="10" t="s">
        <v>393</v>
      </c>
      <c r="B115" s="8" t="s">
        <v>32</v>
      </c>
      <c r="C115" s="8" t="s">
        <v>39</v>
      </c>
      <c r="D115" s="8" t="s">
        <v>397</v>
      </c>
      <c r="E115" s="8"/>
      <c r="F115" s="9">
        <f>F116</f>
        <v>1500</v>
      </c>
      <c r="G115" s="9">
        <f>G116</f>
        <v>0</v>
      </c>
      <c r="H115" s="9">
        <f>H116</f>
        <v>0</v>
      </c>
      <c r="M115" s="26"/>
      <c r="N115" s="26"/>
    </row>
    <row r="116" spans="1:15" s="26" customFormat="1" ht="25.5" x14ac:dyDescent="0.2">
      <c r="A116" s="27" t="s">
        <v>215</v>
      </c>
      <c r="B116" s="23" t="s">
        <v>32</v>
      </c>
      <c r="C116" s="23" t="s">
        <v>39</v>
      </c>
      <c r="D116" s="23" t="s">
        <v>397</v>
      </c>
      <c r="E116" s="23" t="s">
        <v>8</v>
      </c>
      <c r="F116" s="25">
        <v>1500</v>
      </c>
      <c r="G116" s="25">
        <v>0</v>
      </c>
      <c r="H116" s="25">
        <v>0</v>
      </c>
      <c r="I116" s="13"/>
      <c r="J116" s="13"/>
      <c r="K116" s="13"/>
      <c r="L116" s="13"/>
      <c r="M116" s="13"/>
      <c r="N116" s="13"/>
    </row>
    <row r="117" spans="1:15" s="4" customFormat="1" ht="25.5" x14ac:dyDescent="0.2">
      <c r="A117" s="10" t="s">
        <v>185</v>
      </c>
      <c r="B117" s="8" t="s">
        <v>32</v>
      </c>
      <c r="C117" s="8" t="s">
        <v>39</v>
      </c>
      <c r="D117" s="8" t="s">
        <v>186</v>
      </c>
      <c r="E117" s="8"/>
      <c r="F117" s="9">
        <f>F118</f>
        <v>104581.6</v>
      </c>
      <c r="G117" s="9">
        <f>G118</f>
        <v>53970.1</v>
      </c>
      <c r="H117" s="9">
        <f>H118</f>
        <v>33384.400000000001</v>
      </c>
    </row>
    <row r="118" spans="1:15" ht="25.5" x14ac:dyDescent="0.2">
      <c r="A118" s="27" t="s">
        <v>215</v>
      </c>
      <c r="B118" s="23" t="s">
        <v>32</v>
      </c>
      <c r="C118" s="23" t="s">
        <v>39</v>
      </c>
      <c r="D118" s="23" t="s">
        <v>186</v>
      </c>
      <c r="E118" s="23" t="s">
        <v>8</v>
      </c>
      <c r="F118" s="25">
        <f>73107+5000+26700-225.4</f>
        <v>104581.6</v>
      </c>
      <c r="G118" s="25">
        <f>73107-19136.9</f>
        <v>53970.1</v>
      </c>
      <c r="H118" s="25">
        <f>73107-39722.6</f>
        <v>33384.400000000001</v>
      </c>
    </row>
    <row r="119" spans="1:15" ht="25.5" x14ac:dyDescent="0.2">
      <c r="A119" s="10" t="s">
        <v>187</v>
      </c>
      <c r="B119" s="8" t="s">
        <v>32</v>
      </c>
      <c r="C119" s="8" t="s">
        <v>39</v>
      </c>
      <c r="D119" s="8" t="s">
        <v>188</v>
      </c>
      <c r="E119" s="8"/>
      <c r="F119" s="9">
        <f>F120</f>
        <v>8080.1</v>
      </c>
      <c r="G119" s="9">
        <f>G120</f>
        <v>8080.1</v>
      </c>
      <c r="H119" s="9">
        <f>H120</f>
        <v>8080.1</v>
      </c>
    </row>
    <row r="120" spans="1:15" ht="25.5" x14ac:dyDescent="0.2">
      <c r="A120" s="27" t="s">
        <v>215</v>
      </c>
      <c r="B120" s="23" t="s">
        <v>32</v>
      </c>
      <c r="C120" s="23" t="s">
        <v>39</v>
      </c>
      <c r="D120" s="23" t="s">
        <v>188</v>
      </c>
      <c r="E120" s="23" t="s">
        <v>8</v>
      </c>
      <c r="F120" s="25">
        <v>8080.1</v>
      </c>
      <c r="G120" s="25">
        <v>8080.1</v>
      </c>
      <c r="H120" s="25">
        <v>8080.1</v>
      </c>
    </row>
    <row r="121" spans="1:15" ht="25.5" x14ac:dyDescent="0.2">
      <c r="A121" s="10" t="s">
        <v>189</v>
      </c>
      <c r="B121" s="8" t="s">
        <v>32</v>
      </c>
      <c r="C121" s="8" t="s">
        <v>39</v>
      </c>
      <c r="D121" s="8" t="s">
        <v>190</v>
      </c>
      <c r="E121" s="8"/>
      <c r="F121" s="9">
        <f>F122</f>
        <v>583.79999999999995</v>
      </c>
      <c r="G121" s="9">
        <f>G122</f>
        <v>583.79999999999995</v>
      </c>
      <c r="H121" s="9">
        <f>H122</f>
        <v>583.79999999999995</v>
      </c>
      <c r="N121" s="26"/>
      <c r="O121" s="26"/>
    </row>
    <row r="122" spans="1:15" s="26" customFormat="1" ht="25.5" x14ac:dyDescent="0.2">
      <c r="A122" s="27" t="s">
        <v>215</v>
      </c>
      <c r="B122" s="23" t="s">
        <v>32</v>
      </c>
      <c r="C122" s="23" t="s">
        <v>39</v>
      </c>
      <c r="D122" s="23" t="s">
        <v>190</v>
      </c>
      <c r="E122" s="23" t="s">
        <v>8</v>
      </c>
      <c r="F122" s="25">
        <v>583.79999999999995</v>
      </c>
      <c r="G122" s="25">
        <v>583.79999999999995</v>
      </c>
      <c r="H122" s="25">
        <v>583.79999999999995</v>
      </c>
      <c r="I122" s="13"/>
      <c r="J122" s="13"/>
      <c r="K122" s="13"/>
      <c r="L122" s="13"/>
      <c r="M122" s="13"/>
      <c r="N122" s="13"/>
      <c r="O122" s="13"/>
    </row>
    <row r="123" spans="1:15" s="26" customFormat="1" x14ac:dyDescent="0.2">
      <c r="A123" s="14" t="s">
        <v>42</v>
      </c>
      <c r="B123" s="11" t="s">
        <v>32</v>
      </c>
      <c r="C123" s="11" t="s">
        <v>37</v>
      </c>
      <c r="D123" s="11"/>
      <c r="E123" s="11"/>
      <c r="F123" s="12">
        <f>F128+F130+F124+F126</f>
        <v>2370.9</v>
      </c>
      <c r="G123" s="12">
        <f t="shared" ref="G123:H123" si="14">G128+G130+G124+G126</f>
        <v>2370.9</v>
      </c>
      <c r="H123" s="12">
        <f t="shared" si="14"/>
        <v>2370.9</v>
      </c>
    </row>
    <row r="124" spans="1:15" s="26" customFormat="1" ht="25.5" x14ac:dyDescent="0.2">
      <c r="A124" s="10" t="s">
        <v>192</v>
      </c>
      <c r="B124" s="8" t="s">
        <v>32</v>
      </c>
      <c r="C124" s="8" t="s">
        <v>37</v>
      </c>
      <c r="D124" s="8" t="s">
        <v>191</v>
      </c>
      <c r="E124" s="8"/>
      <c r="F124" s="9">
        <f>F125</f>
        <v>75</v>
      </c>
      <c r="G124" s="9">
        <f>G125</f>
        <v>75</v>
      </c>
      <c r="H124" s="9">
        <f>H125</f>
        <v>75</v>
      </c>
    </row>
    <row r="125" spans="1:15" s="26" customFormat="1" ht="25.5" x14ac:dyDescent="0.2">
      <c r="A125" s="27" t="s">
        <v>20</v>
      </c>
      <c r="B125" s="23" t="s">
        <v>32</v>
      </c>
      <c r="C125" s="23" t="s">
        <v>37</v>
      </c>
      <c r="D125" s="23" t="s">
        <v>191</v>
      </c>
      <c r="E125" s="24" t="s">
        <v>12</v>
      </c>
      <c r="F125" s="25">
        <v>75</v>
      </c>
      <c r="G125" s="25">
        <v>75</v>
      </c>
      <c r="H125" s="25">
        <v>75</v>
      </c>
    </row>
    <row r="126" spans="1:15" ht="25.5" x14ac:dyDescent="0.2">
      <c r="A126" s="10" t="s">
        <v>193</v>
      </c>
      <c r="B126" s="8" t="s">
        <v>32</v>
      </c>
      <c r="C126" s="8" t="s">
        <v>37</v>
      </c>
      <c r="D126" s="8" t="s">
        <v>370</v>
      </c>
      <c r="E126" s="8"/>
      <c r="F126" s="9">
        <f>F127</f>
        <v>595.9</v>
      </c>
      <c r="G126" s="9">
        <f>G127</f>
        <v>595.9</v>
      </c>
      <c r="H126" s="9">
        <f>H127</f>
        <v>595.9</v>
      </c>
    </row>
    <row r="127" spans="1:15" s="26" customFormat="1" x14ac:dyDescent="0.2">
      <c r="A127" s="27" t="s">
        <v>16</v>
      </c>
      <c r="B127" s="23" t="s">
        <v>32</v>
      </c>
      <c r="C127" s="23" t="s">
        <v>37</v>
      </c>
      <c r="D127" s="23" t="s">
        <v>370</v>
      </c>
      <c r="E127" s="24" t="s">
        <v>17</v>
      </c>
      <c r="F127" s="25">
        <v>595.9</v>
      </c>
      <c r="G127" s="25">
        <v>595.9</v>
      </c>
      <c r="H127" s="25">
        <v>595.9</v>
      </c>
    </row>
    <row r="128" spans="1:15" s="4" customFormat="1" x14ac:dyDescent="0.2">
      <c r="A128" s="10" t="s">
        <v>195</v>
      </c>
      <c r="B128" s="8" t="s">
        <v>32</v>
      </c>
      <c r="C128" s="8" t="s">
        <v>37</v>
      </c>
      <c r="D128" s="8" t="s">
        <v>194</v>
      </c>
      <c r="E128" s="8"/>
      <c r="F128" s="9">
        <f>F129</f>
        <v>1000</v>
      </c>
      <c r="G128" s="9">
        <f>G129</f>
        <v>1000</v>
      </c>
      <c r="H128" s="9">
        <f>H129</f>
        <v>1000</v>
      </c>
    </row>
    <row r="129" spans="1:8" ht="25.5" x14ac:dyDescent="0.2">
      <c r="A129" s="27" t="s">
        <v>20</v>
      </c>
      <c r="B129" s="23" t="s">
        <v>32</v>
      </c>
      <c r="C129" s="23" t="s">
        <v>37</v>
      </c>
      <c r="D129" s="23" t="s">
        <v>194</v>
      </c>
      <c r="E129" s="24" t="s">
        <v>12</v>
      </c>
      <c r="F129" s="25">
        <v>1000</v>
      </c>
      <c r="G129" s="25">
        <v>1000</v>
      </c>
      <c r="H129" s="25">
        <v>1000</v>
      </c>
    </row>
    <row r="130" spans="1:8" s="26" customFormat="1" ht="38.25" x14ac:dyDescent="0.2">
      <c r="A130" s="10" t="s">
        <v>197</v>
      </c>
      <c r="B130" s="8" t="s">
        <v>32</v>
      </c>
      <c r="C130" s="8" t="s">
        <v>37</v>
      </c>
      <c r="D130" s="8" t="s">
        <v>196</v>
      </c>
      <c r="E130" s="8"/>
      <c r="F130" s="9">
        <f>F131</f>
        <v>700</v>
      </c>
      <c r="G130" s="9">
        <f>G131</f>
        <v>700</v>
      </c>
      <c r="H130" s="9">
        <f>H131</f>
        <v>700</v>
      </c>
    </row>
    <row r="131" spans="1:8" s="4" customFormat="1" ht="25.5" x14ac:dyDescent="0.2">
      <c r="A131" s="27" t="s">
        <v>20</v>
      </c>
      <c r="B131" s="23" t="s">
        <v>32</v>
      </c>
      <c r="C131" s="23" t="s">
        <v>37</v>
      </c>
      <c r="D131" s="23" t="s">
        <v>196</v>
      </c>
      <c r="E131" s="24" t="s">
        <v>12</v>
      </c>
      <c r="F131" s="25">
        <v>700</v>
      </c>
      <c r="G131" s="25">
        <v>700</v>
      </c>
      <c r="H131" s="25">
        <v>700</v>
      </c>
    </row>
    <row r="132" spans="1:8" ht="15.75" x14ac:dyDescent="0.25">
      <c r="A132" s="35" t="s">
        <v>43</v>
      </c>
      <c r="B132" s="33" t="s">
        <v>44</v>
      </c>
      <c r="C132" s="33" t="s">
        <v>26</v>
      </c>
      <c r="D132" s="33"/>
      <c r="E132" s="33"/>
      <c r="F132" s="34">
        <f>F133+F148+F171+F187</f>
        <v>263570.68380999996</v>
      </c>
      <c r="G132" s="34">
        <f t="shared" ref="G132:H132" si="15">G133+G148+G171+G187</f>
        <v>41256</v>
      </c>
      <c r="H132" s="34">
        <f t="shared" si="15"/>
        <v>69212.700000000012</v>
      </c>
    </row>
    <row r="133" spans="1:8" s="26" customFormat="1" x14ac:dyDescent="0.2">
      <c r="A133" s="14" t="s">
        <v>45</v>
      </c>
      <c r="B133" s="11" t="s">
        <v>44</v>
      </c>
      <c r="C133" s="11" t="s">
        <v>25</v>
      </c>
      <c r="D133" s="11"/>
      <c r="E133" s="11"/>
      <c r="F133" s="12">
        <f>F138+F141+F146+F144+F134+F136</f>
        <v>33829</v>
      </c>
      <c r="G133" s="12">
        <f t="shared" ref="G133:H133" si="16">G138+G141+G146+G144+G134+G136</f>
        <v>4649.7</v>
      </c>
      <c r="H133" s="12">
        <f t="shared" si="16"/>
        <v>33178.400000000001</v>
      </c>
    </row>
    <row r="134" spans="1:8" ht="25.5" x14ac:dyDescent="0.2">
      <c r="A134" s="10" t="s">
        <v>201</v>
      </c>
      <c r="B134" s="8" t="s">
        <v>44</v>
      </c>
      <c r="C134" s="8" t="s">
        <v>25</v>
      </c>
      <c r="D134" s="8" t="s">
        <v>200</v>
      </c>
      <c r="E134" s="8"/>
      <c r="F134" s="9">
        <f>F135</f>
        <v>1177</v>
      </c>
      <c r="G134" s="9">
        <f>G135</f>
        <v>0</v>
      </c>
      <c r="H134" s="9">
        <f>H135</f>
        <v>0</v>
      </c>
    </row>
    <row r="135" spans="1:8" s="26" customFormat="1" ht="25.5" x14ac:dyDescent="0.2">
      <c r="A135" s="27" t="s">
        <v>20</v>
      </c>
      <c r="B135" s="23" t="s">
        <v>44</v>
      </c>
      <c r="C135" s="23" t="s">
        <v>25</v>
      </c>
      <c r="D135" s="23" t="s">
        <v>200</v>
      </c>
      <c r="E135" s="24" t="s">
        <v>12</v>
      </c>
      <c r="F135" s="25">
        <f>200+977</f>
        <v>1177</v>
      </c>
      <c r="G135" s="25">
        <v>0</v>
      </c>
      <c r="H135" s="25">
        <v>0</v>
      </c>
    </row>
    <row r="136" spans="1:8" ht="25.5" x14ac:dyDescent="0.2">
      <c r="A136" s="10" t="s">
        <v>201</v>
      </c>
      <c r="B136" s="8" t="s">
        <v>44</v>
      </c>
      <c r="C136" s="8" t="s">
        <v>25</v>
      </c>
      <c r="D136" s="8" t="s">
        <v>388</v>
      </c>
      <c r="E136" s="8"/>
      <c r="F136" s="9">
        <f>F137</f>
        <v>100</v>
      </c>
      <c r="G136" s="9">
        <f>G137</f>
        <v>0</v>
      </c>
      <c r="H136" s="9">
        <f>H137</f>
        <v>0</v>
      </c>
    </row>
    <row r="137" spans="1:8" s="26" customFormat="1" x14ac:dyDescent="0.2">
      <c r="A137" s="27" t="s">
        <v>16</v>
      </c>
      <c r="B137" s="23" t="s">
        <v>44</v>
      </c>
      <c r="C137" s="23" t="s">
        <v>25</v>
      </c>
      <c r="D137" s="23" t="s">
        <v>388</v>
      </c>
      <c r="E137" s="24" t="s">
        <v>17</v>
      </c>
      <c r="F137" s="25">
        <v>100</v>
      </c>
      <c r="G137" s="25">
        <v>0</v>
      </c>
      <c r="H137" s="25">
        <v>0</v>
      </c>
    </row>
    <row r="138" spans="1:8" x14ac:dyDescent="0.2">
      <c r="A138" s="10" t="s">
        <v>203</v>
      </c>
      <c r="B138" s="8" t="s">
        <v>44</v>
      </c>
      <c r="C138" s="8" t="s">
        <v>25</v>
      </c>
      <c r="D138" s="8" t="s">
        <v>202</v>
      </c>
      <c r="E138" s="8"/>
      <c r="F138" s="9">
        <f>F139+F140</f>
        <v>17082.599999999999</v>
      </c>
      <c r="G138" s="9">
        <f t="shared" ref="G138:H138" si="17">G139+G140</f>
        <v>1681.4</v>
      </c>
      <c r="H138" s="9">
        <f t="shared" si="17"/>
        <v>15919</v>
      </c>
    </row>
    <row r="139" spans="1:8" ht="25.5" x14ac:dyDescent="0.2">
      <c r="A139" s="27" t="s">
        <v>20</v>
      </c>
      <c r="B139" s="23" t="s">
        <v>44</v>
      </c>
      <c r="C139" s="23" t="s">
        <v>25</v>
      </c>
      <c r="D139" s="8" t="s">
        <v>202</v>
      </c>
      <c r="E139" s="24" t="s">
        <v>12</v>
      </c>
      <c r="F139" s="25">
        <f>380.9+16815.6-977-4519.5</f>
        <v>11700</v>
      </c>
      <c r="G139" s="25">
        <f>20.5+1192.8</f>
        <v>1213.3</v>
      </c>
      <c r="H139" s="25">
        <f>134.1+11880.2</f>
        <v>12014.300000000001</v>
      </c>
    </row>
    <row r="140" spans="1:8" ht="25.5" x14ac:dyDescent="0.2">
      <c r="A140" s="27" t="s">
        <v>74</v>
      </c>
      <c r="B140" s="23" t="s">
        <v>44</v>
      </c>
      <c r="C140" s="23" t="s">
        <v>25</v>
      </c>
      <c r="D140" s="8" t="s">
        <v>202</v>
      </c>
      <c r="E140" s="23" t="s">
        <v>15</v>
      </c>
      <c r="F140" s="25">
        <f>6393.9-200-811.3</f>
        <v>5382.5999999999995</v>
      </c>
      <c r="G140" s="25">
        <v>468.1</v>
      </c>
      <c r="H140" s="25">
        <v>3904.7</v>
      </c>
    </row>
    <row r="141" spans="1:8" x14ac:dyDescent="0.2">
      <c r="A141" s="10" t="s">
        <v>205</v>
      </c>
      <c r="B141" s="8" t="s">
        <v>44</v>
      </c>
      <c r="C141" s="8" t="s">
        <v>25</v>
      </c>
      <c r="D141" s="23" t="s">
        <v>204</v>
      </c>
      <c r="E141" s="8"/>
      <c r="F141" s="9">
        <f>+F142+F143</f>
        <v>7883.7999999999993</v>
      </c>
      <c r="G141" s="9">
        <f t="shared" ref="G141:H141" si="18">+G142+G143</f>
        <v>1881.1999999999998</v>
      </c>
      <c r="H141" s="9">
        <f t="shared" si="18"/>
        <v>16172.3</v>
      </c>
    </row>
    <row r="142" spans="1:8" ht="25.5" x14ac:dyDescent="0.2">
      <c r="A142" s="27" t="s">
        <v>20</v>
      </c>
      <c r="B142" s="8" t="s">
        <v>44</v>
      </c>
      <c r="C142" s="8" t="s">
        <v>25</v>
      </c>
      <c r="D142" s="23" t="s">
        <v>204</v>
      </c>
      <c r="E142" s="23" t="s">
        <v>12</v>
      </c>
      <c r="F142" s="25">
        <f>19742.5-100-1758.7-16900+118</f>
        <v>1101.7999999999993</v>
      </c>
      <c r="G142" s="25">
        <v>1313.1</v>
      </c>
      <c r="H142" s="25">
        <v>10187.9</v>
      </c>
    </row>
    <row r="143" spans="1:8" s="26" customFormat="1" ht="25.5" x14ac:dyDescent="0.2">
      <c r="A143" s="27" t="s">
        <v>74</v>
      </c>
      <c r="B143" s="8" t="s">
        <v>44</v>
      </c>
      <c r="C143" s="8" t="s">
        <v>25</v>
      </c>
      <c r="D143" s="23" t="s">
        <v>204</v>
      </c>
      <c r="E143" s="23" t="s">
        <v>15</v>
      </c>
      <c r="F143" s="25">
        <f>6400+6200-5700-118</f>
        <v>6782</v>
      </c>
      <c r="G143" s="25">
        <v>568.1</v>
      </c>
      <c r="H143" s="25">
        <v>5984.4</v>
      </c>
    </row>
    <row r="144" spans="1:8" ht="25.5" x14ac:dyDescent="0.2">
      <c r="A144" s="10" t="s">
        <v>206</v>
      </c>
      <c r="B144" s="8" t="s">
        <v>44</v>
      </c>
      <c r="C144" s="8" t="s">
        <v>25</v>
      </c>
      <c r="D144" s="8" t="s">
        <v>207</v>
      </c>
      <c r="E144" s="8"/>
      <c r="F144" s="9">
        <f>F145</f>
        <v>6538.3</v>
      </c>
      <c r="G144" s="9">
        <f>G145</f>
        <v>0</v>
      </c>
      <c r="H144" s="9">
        <f>H145</f>
        <v>0</v>
      </c>
    </row>
    <row r="145" spans="1:15" ht="25.5" x14ac:dyDescent="0.2">
      <c r="A145" s="27" t="s">
        <v>20</v>
      </c>
      <c r="B145" s="23" t="s">
        <v>44</v>
      </c>
      <c r="C145" s="23" t="s">
        <v>25</v>
      </c>
      <c r="D145" s="23" t="s">
        <v>207</v>
      </c>
      <c r="E145" s="23" t="s">
        <v>12</v>
      </c>
      <c r="F145" s="25">
        <v>6538.3</v>
      </c>
      <c r="G145" s="25"/>
      <c r="H145" s="25"/>
    </row>
    <row r="146" spans="1:15" ht="25.5" x14ac:dyDescent="0.2">
      <c r="A146" s="10" t="s">
        <v>347</v>
      </c>
      <c r="B146" s="8" t="s">
        <v>44</v>
      </c>
      <c r="C146" s="8" t="s">
        <v>25</v>
      </c>
      <c r="D146" s="8" t="s">
        <v>208</v>
      </c>
      <c r="E146" s="8"/>
      <c r="F146" s="9">
        <f>F147</f>
        <v>1047.3</v>
      </c>
      <c r="G146" s="9">
        <f>G147</f>
        <v>1087.0999999999999</v>
      </c>
      <c r="H146" s="9">
        <f>H147</f>
        <v>1087.0999999999999</v>
      </c>
    </row>
    <row r="147" spans="1:15" x14ac:dyDescent="0.2">
      <c r="A147" s="27" t="s">
        <v>16</v>
      </c>
      <c r="B147" s="23" t="s">
        <v>44</v>
      </c>
      <c r="C147" s="23" t="s">
        <v>25</v>
      </c>
      <c r="D147" s="23" t="s">
        <v>208</v>
      </c>
      <c r="E147" s="23" t="s">
        <v>17</v>
      </c>
      <c r="F147" s="25">
        <f>1087.1-15-17.8-7</f>
        <v>1047.3</v>
      </c>
      <c r="G147" s="25">
        <v>1087.0999999999999</v>
      </c>
      <c r="H147" s="25">
        <v>1087.0999999999999</v>
      </c>
    </row>
    <row r="148" spans="1:15" s="65" customFormat="1" x14ac:dyDescent="0.2">
      <c r="A148" s="62" t="s">
        <v>46</v>
      </c>
      <c r="B148" s="63" t="s">
        <v>44</v>
      </c>
      <c r="C148" s="63" t="s">
        <v>28</v>
      </c>
      <c r="D148" s="63"/>
      <c r="E148" s="63"/>
      <c r="F148" s="64">
        <f>F151+F165+F167+F169+F156+F159+F154+F163+F149+F161</f>
        <v>166126.79999999999</v>
      </c>
      <c r="G148" s="64">
        <f t="shared" ref="G148:H148" si="19">G151+G165+G167+G169+G156+G159+G154+G163+G149+G161</f>
        <v>3871</v>
      </c>
      <c r="H148" s="64">
        <f t="shared" si="19"/>
        <v>3449</v>
      </c>
    </row>
    <row r="149" spans="1:15" s="3" customFormat="1" ht="38.25" x14ac:dyDescent="0.2">
      <c r="A149" s="5" t="s">
        <v>385</v>
      </c>
      <c r="B149" s="8" t="s">
        <v>44</v>
      </c>
      <c r="C149" s="8" t="s">
        <v>28</v>
      </c>
      <c r="D149" s="8" t="s">
        <v>360</v>
      </c>
      <c r="E149" s="8"/>
      <c r="F149" s="9">
        <f>F150</f>
        <v>62700</v>
      </c>
      <c r="G149" s="9">
        <f>G150</f>
        <v>0</v>
      </c>
      <c r="H149" s="9">
        <f>H150</f>
        <v>0</v>
      </c>
      <c r="I149" s="26"/>
      <c r="J149" s="26"/>
      <c r="K149" s="26"/>
      <c r="L149" s="26"/>
      <c r="M149" s="26"/>
      <c r="N149" s="26"/>
    </row>
    <row r="150" spans="1:15" s="3" customFormat="1" ht="25.5" x14ac:dyDescent="0.2">
      <c r="A150" s="27" t="s">
        <v>74</v>
      </c>
      <c r="B150" s="23" t="s">
        <v>44</v>
      </c>
      <c r="C150" s="23" t="s">
        <v>28</v>
      </c>
      <c r="D150" s="23" t="s">
        <v>360</v>
      </c>
      <c r="E150" s="23" t="s">
        <v>15</v>
      </c>
      <c r="F150" s="25">
        <v>62700</v>
      </c>
      <c r="G150" s="25"/>
      <c r="H150" s="25"/>
      <c r="I150" s="13"/>
      <c r="J150" s="13"/>
      <c r="K150" s="13"/>
      <c r="L150" s="13"/>
      <c r="M150" s="13"/>
      <c r="N150" s="13"/>
    </row>
    <row r="151" spans="1:15" ht="25.5" x14ac:dyDescent="0.2">
      <c r="A151" s="5" t="s">
        <v>209</v>
      </c>
      <c r="B151" s="8" t="s">
        <v>44</v>
      </c>
      <c r="C151" s="8" t="s">
        <v>28</v>
      </c>
      <c r="D151" s="8" t="s">
        <v>210</v>
      </c>
      <c r="E151" s="8"/>
      <c r="F151" s="9">
        <f>F153+F152</f>
        <v>5758.6</v>
      </c>
      <c r="G151" s="9">
        <f t="shared" ref="G151:H151" si="20">G153+G152</f>
        <v>2701</v>
      </c>
      <c r="H151" s="9">
        <f t="shared" si="20"/>
        <v>2379</v>
      </c>
    </row>
    <row r="152" spans="1:15" ht="25.5" x14ac:dyDescent="0.2">
      <c r="A152" s="27" t="s">
        <v>20</v>
      </c>
      <c r="B152" s="23" t="s">
        <v>44</v>
      </c>
      <c r="C152" s="23" t="s">
        <v>28</v>
      </c>
      <c r="D152" s="23" t="s">
        <v>210</v>
      </c>
      <c r="E152" s="23" t="s">
        <v>12</v>
      </c>
      <c r="F152" s="25">
        <f>2000+3827-50-50-18.4</f>
        <v>5708.6</v>
      </c>
      <c r="G152" s="25">
        <v>2701</v>
      </c>
      <c r="H152" s="25">
        <v>2379</v>
      </c>
    </row>
    <row r="153" spans="1:15" x14ac:dyDescent="0.2">
      <c r="A153" s="27" t="s">
        <v>16</v>
      </c>
      <c r="B153" s="23" t="s">
        <v>44</v>
      </c>
      <c r="C153" s="23" t="s">
        <v>28</v>
      </c>
      <c r="D153" s="23" t="s">
        <v>210</v>
      </c>
      <c r="E153" s="23" t="s">
        <v>17</v>
      </c>
      <c r="F153" s="25">
        <v>50</v>
      </c>
      <c r="G153" s="25">
        <v>0</v>
      </c>
      <c r="H153" s="25">
        <v>0</v>
      </c>
    </row>
    <row r="154" spans="1:15" ht="25.5" x14ac:dyDescent="0.2">
      <c r="A154" s="5" t="s">
        <v>214</v>
      </c>
      <c r="B154" s="8" t="s">
        <v>44</v>
      </c>
      <c r="C154" s="8" t="s">
        <v>28</v>
      </c>
      <c r="D154" s="8" t="s">
        <v>213</v>
      </c>
      <c r="E154" s="8"/>
      <c r="F154" s="9">
        <f>F155</f>
        <v>811.3</v>
      </c>
      <c r="G154" s="9">
        <f t="shared" ref="G154:H154" si="21">G155</f>
        <v>0</v>
      </c>
      <c r="H154" s="9">
        <f t="shared" si="21"/>
        <v>0</v>
      </c>
    </row>
    <row r="155" spans="1:15" ht="25.5" x14ac:dyDescent="0.2">
      <c r="A155" s="27" t="s">
        <v>74</v>
      </c>
      <c r="B155" s="23" t="s">
        <v>44</v>
      </c>
      <c r="C155" s="23" t="s">
        <v>28</v>
      </c>
      <c r="D155" s="23" t="s">
        <v>213</v>
      </c>
      <c r="E155" s="23" t="s">
        <v>15</v>
      </c>
      <c r="F155" s="25">
        <f>3827+55203-59030+811.3</f>
        <v>811.3</v>
      </c>
      <c r="G155" s="25"/>
      <c r="H155" s="25"/>
    </row>
    <row r="156" spans="1:15" s="3" customFormat="1" x14ac:dyDescent="0.2">
      <c r="A156" s="5" t="s">
        <v>211</v>
      </c>
      <c r="B156" s="8" t="s">
        <v>44</v>
      </c>
      <c r="C156" s="8" t="s">
        <v>28</v>
      </c>
      <c r="D156" s="8" t="s">
        <v>212</v>
      </c>
      <c r="E156" s="8"/>
      <c r="F156" s="9">
        <f>F157+F158</f>
        <v>1841.4</v>
      </c>
      <c r="G156" s="9">
        <f>G157</f>
        <v>770</v>
      </c>
      <c r="H156" s="9">
        <f>H157</f>
        <v>770</v>
      </c>
      <c r="I156" s="26"/>
      <c r="J156" s="26"/>
      <c r="K156" s="26"/>
      <c r="L156" s="26"/>
      <c r="M156" s="26"/>
      <c r="N156" s="26"/>
      <c r="O156" s="26"/>
    </row>
    <row r="157" spans="1:15" s="3" customFormat="1" ht="25.5" x14ac:dyDescent="0.2">
      <c r="A157" s="27" t="s">
        <v>20</v>
      </c>
      <c r="B157" s="23" t="s">
        <v>44</v>
      </c>
      <c r="C157" s="23" t="s">
        <v>28</v>
      </c>
      <c r="D157" s="23" t="s">
        <v>212</v>
      </c>
      <c r="E157" s="23" t="s">
        <v>12</v>
      </c>
      <c r="F157" s="25">
        <f>770+1053</f>
        <v>1823</v>
      </c>
      <c r="G157" s="25">
        <v>770</v>
      </c>
      <c r="H157" s="25">
        <v>770</v>
      </c>
      <c r="I157" s="13"/>
      <c r="J157" s="13"/>
      <c r="K157" s="13"/>
      <c r="L157" s="13"/>
      <c r="M157" s="13"/>
      <c r="N157" s="13"/>
      <c r="O157" s="13"/>
    </row>
    <row r="158" spans="1:15" s="3" customFormat="1" x14ac:dyDescent="0.2">
      <c r="A158" s="27" t="s">
        <v>16</v>
      </c>
      <c r="B158" s="23" t="s">
        <v>44</v>
      </c>
      <c r="C158" s="23" t="s">
        <v>28</v>
      </c>
      <c r="D158" s="23" t="s">
        <v>212</v>
      </c>
      <c r="E158" s="23" t="s">
        <v>17</v>
      </c>
      <c r="F158" s="25">
        <v>18.399999999999999</v>
      </c>
      <c r="G158" s="25"/>
      <c r="H158" s="25"/>
      <c r="I158" s="13"/>
      <c r="J158" s="13"/>
      <c r="K158" s="13"/>
      <c r="L158" s="13"/>
      <c r="M158" s="13"/>
      <c r="N158" s="13"/>
      <c r="O158" s="13"/>
    </row>
    <row r="159" spans="1:15" s="3" customFormat="1" x14ac:dyDescent="0.2">
      <c r="A159" s="5" t="s">
        <v>217</v>
      </c>
      <c r="B159" s="8" t="s">
        <v>44</v>
      </c>
      <c r="C159" s="8" t="s">
        <v>28</v>
      </c>
      <c r="D159" s="8" t="s">
        <v>216</v>
      </c>
      <c r="E159" s="8"/>
      <c r="F159" s="9">
        <f>F160</f>
        <v>700</v>
      </c>
      <c r="G159" s="9">
        <f t="shared" ref="G159:H159" si="22">G160</f>
        <v>400</v>
      </c>
      <c r="H159" s="9">
        <f t="shared" si="22"/>
        <v>300</v>
      </c>
      <c r="I159" s="26"/>
      <c r="J159" s="26"/>
      <c r="K159" s="26"/>
      <c r="L159" s="26"/>
      <c r="M159" s="26"/>
      <c r="N159" s="26"/>
      <c r="O159" s="26"/>
    </row>
    <row r="160" spans="1:15" s="3" customFormat="1" ht="25.5" x14ac:dyDescent="0.2">
      <c r="A160" s="27" t="s">
        <v>20</v>
      </c>
      <c r="B160" s="23" t="s">
        <v>44</v>
      </c>
      <c r="C160" s="23" t="s">
        <v>28</v>
      </c>
      <c r="D160" s="23" t="s">
        <v>216</v>
      </c>
      <c r="E160" s="23" t="s">
        <v>12</v>
      </c>
      <c r="F160" s="25">
        <v>700</v>
      </c>
      <c r="G160" s="25">
        <v>400</v>
      </c>
      <c r="H160" s="25">
        <v>300</v>
      </c>
      <c r="I160" s="13"/>
      <c r="J160" s="13"/>
      <c r="K160" s="13"/>
      <c r="L160" s="13"/>
      <c r="M160" s="13"/>
      <c r="N160" s="13"/>
      <c r="O160" s="13"/>
    </row>
    <row r="161" spans="1:15" s="3" customFormat="1" x14ac:dyDescent="0.2">
      <c r="A161" s="5" t="s">
        <v>391</v>
      </c>
      <c r="B161" s="8" t="s">
        <v>44</v>
      </c>
      <c r="C161" s="8" t="s">
        <v>28</v>
      </c>
      <c r="D161" s="8" t="s">
        <v>392</v>
      </c>
      <c r="E161" s="8"/>
      <c r="F161" s="9">
        <f>F162</f>
        <v>50</v>
      </c>
      <c r="G161" s="9">
        <f t="shared" ref="G161:H161" si="23">G162</f>
        <v>0</v>
      </c>
      <c r="H161" s="9">
        <f t="shared" si="23"/>
        <v>0</v>
      </c>
      <c r="I161" s="26"/>
      <c r="J161" s="26"/>
      <c r="K161" s="26"/>
      <c r="L161" s="26"/>
      <c r="M161" s="26"/>
      <c r="N161" s="26"/>
      <c r="O161" s="26"/>
    </row>
    <row r="162" spans="1:15" s="3" customFormat="1" x14ac:dyDescent="0.2">
      <c r="A162" s="27" t="s">
        <v>16</v>
      </c>
      <c r="B162" s="23" t="s">
        <v>44</v>
      </c>
      <c r="C162" s="23" t="s">
        <v>28</v>
      </c>
      <c r="D162" s="23" t="s">
        <v>392</v>
      </c>
      <c r="E162" s="23" t="s">
        <v>17</v>
      </c>
      <c r="F162" s="25">
        <v>50</v>
      </c>
      <c r="G162" s="25">
        <v>0</v>
      </c>
      <c r="H162" s="25">
        <v>0</v>
      </c>
      <c r="I162" s="13"/>
      <c r="J162" s="13"/>
      <c r="K162" s="13"/>
      <c r="L162" s="13"/>
      <c r="M162" s="13"/>
      <c r="N162" s="13"/>
      <c r="O162" s="13"/>
    </row>
    <row r="163" spans="1:15" s="3" customFormat="1" ht="18" customHeight="1" x14ac:dyDescent="0.2">
      <c r="A163" s="5" t="s">
        <v>363</v>
      </c>
      <c r="B163" s="8" t="s">
        <v>44</v>
      </c>
      <c r="C163" s="8" t="s">
        <v>28</v>
      </c>
      <c r="D163" s="8" t="s">
        <v>364</v>
      </c>
      <c r="E163" s="8"/>
      <c r="F163" s="9">
        <f>F164</f>
        <v>3670</v>
      </c>
      <c r="G163" s="9">
        <f>G164</f>
        <v>0</v>
      </c>
      <c r="H163" s="9">
        <f>H164</f>
        <v>0</v>
      </c>
      <c r="I163" s="26"/>
      <c r="J163" s="26"/>
      <c r="K163" s="26"/>
      <c r="L163" s="26"/>
      <c r="M163" s="26"/>
      <c r="N163" s="26"/>
      <c r="O163" s="26"/>
    </row>
    <row r="164" spans="1:15" s="3" customFormat="1" ht="25.5" x14ac:dyDescent="0.2">
      <c r="A164" s="27" t="s">
        <v>20</v>
      </c>
      <c r="B164" s="23" t="s">
        <v>44</v>
      </c>
      <c r="C164" s="23" t="s">
        <v>28</v>
      </c>
      <c r="D164" s="23" t="s">
        <v>364</v>
      </c>
      <c r="E164" s="23" t="s">
        <v>12</v>
      </c>
      <c r="F164" s="25">
        <f>4600-30-900</f>
        <v>3670</v>
      </c>
      <c r="G164" s="25">
        <v>0</v>
      </c>
      <c r="H164" s="25">
        <v>0</v>
      </c>
      <c r="I164" s="13"/>
      <c r="J164" s="13"/>
      <c r="K164" s="13"/>
      <c r="L164" s="13"/>
      <c r="M164" s="13"/>
      <c r="N164" s="13"/>
      <c r="O164" s="13"/>
    </row>
    <row r="165" spans="1:15" s="65" customFormat="1" ht="54.75" customHeight="1" x14ac:dyDescent="0.2">
      <c r="A165" s="70" t="s">
        <v>332</v>
      </c>
      <c r="B165" s="71" t="s">
        <v>44</v>
      </c>
      <c r="C165" s="71" t="s">
        <v>28</v>
      </c>
      <c r="D165" s="71" t="s">
        <v>218</v>
      </c>
      <c r="E165" s="71"/>
      <c r="F165" s="72">
        <f>F166</f>
        <v>83113.100000000006</v>
      </c>
      <c r="G165" s="72">
        <f>G166</f>
        <v>0</v>
      </c>
      <c r="H165" s="72">
        <f>H166</f>
        <v>0</v>
      </c>
    </row>
    <row r="166" spans="1:15" s="65" customFormat="1" x14ac:dyDescent="0.2">
      <c r="A166" s="66" t="s">
        <v>16</v>
      </c>
      <c r="B166" s="67" t="s">
        <v>44</v>
      </c>
      <c r="C166" s="67" t="s">
        <v>28</v>
      </c>
      <c r="D166" s="67" t="s">
        <v>218</v>
      </c>
      <c r="E166" s="67" t="s">
        <v>17</v>
      </c>
      <c r="F166" s="68">
        <f>29467.8+84762.4+1456.8-55203-4600+55203-5000-1053+33079.1-55000</f>
        <v>83113.100000000006</v>
      </c>
      <c r="G166" s="68"/>
      <c r="H166" s="68"/>
    </row>
    <row r="167" spans="1:15" ht="63.75" x14ac:dyDescent="0.2">
      <c r="A167" s="5" t="s">
        <v>333</v>
      </c>
      <c r="B167" s="8" t="s">
        <v>44</v>
      </c>
      <c r="C167" s="8" t="s">
        <v>28</v>
      </c>
      <c r="D167" s="8" t="s">
        <v>219</v>
      </c>
      <c r="E167" s="8"/>
      <c r="F167" s="9">
        <f>F168</f>
        <v>2623.8999999999996</v>
      </c>
      <c r="G167" s="9">
        <f>G168</f>
        <v>0</v>
      </c>
      <c r="H167" s="9">
        <f>H168</f>
        <v>0</v>
      </c>
    </row>
    <row r="168" spans="1:15" x14ac:dyDescent="0.2">
      <c r="A168" s="27" t="s">
        <v>16</v>
      </c>
      <c r="B168" s="23" t="s">
        <v>44</v>
      </c>
      <c r="C168" s="23" t="s">
        <v>28</v>
      </c>
      <c r="D168" s="23" t="s">
        <v>219</v>
      </c>
      <c r="E168" s="23" t="s">
        <v>17</v>
      </c>
      <c r="F168" s="25">
        <f>1511.3+1112.6</f>
        <v>2623.8999999999996</v>
      </c>
      <c r="G168" s="25"/>
      <c r="H168" s="25"/>
    </row>
    <row r="169" spans="1:15" ht="38.25" x14ac:dyDescent="0.2">
      <c r="A169" s="10" t="s">
        <v>220</v>
      </c>
      <c r="B169" s="8" t="s">
        <v>44</v>
      </c>
      <c r="C169" s="8" t="s">
        <v>28</v>
      </c>
      <c r="D169" s="8" t="s">
        <v>221</v>
      </c>
      <c r="E169" s="8"/>
      <c r="F169" s="9">
        <f>F170</f>
        <v>4858.5</v>
      </c>
      <c r="G169" s="9">
        <f>G170</f>
        <v>0</v>
      </c>
      <c r="H169" s="9">
        <f>H170</f>
        <v>0</v>
      </c>
    </row>
    <row r="170" spans="1:15" x14ac:dyDescent="0.2">
      <c r="A170" s="27" t="s">
        <v>16</v>
      </c>
      <c r="B170" s="23" t="s">
        <v>44</v>
      </c>
      <c r="C170" s="23" t="s">
        <v>28</v>
      </c>
      <c r="D170" s="23" t="s">
        <v>221</v>
      </c>
      <c r="E170" s="23" t="s">
        <v>17</v>
      </c>
      <c r="F170" s="25">
        <f>2919.4+1939.1</f>
        <v>4858.5</v>
      </c>
      <c r="G170" s="25"/>
      <c r="H170" s="25"/>
    </row>
    <row r="171" spans="1:15" x14ac:dyDescent="0.2">
      <c r="A171" s="14" t="s">
        <v>47</v>
      </c>
      <c r="B171" s="11" t="s">
        <v>44</v>
      </c>
      <c r="C171" s="11" t="s">
        <v>30</v>
      </c>
      <c r="D171" s="11"/>
      <c r="E171" s="11"/>
      <c r="F171" s="12">
        <f>F177+F179+F181+F183+F172+F174+F185</f>
        <v>36614.883809999999</v>
      </c>
      <c r="G171" s="12">
        <f t="shared" ref="G171:H171" si="24">G177+G179+G181+G183+G172+G174+G185</f>
        <v>10710</v>
      </c>
      <c r="H171" s="12">
        <f t="shared" si="24"/>
        <v>10560</v>
      </c>
    </row>
    <row r="172" spans="1:15" s="3" customFormat="1" ht="25.5" x14ac:dyDescent="0.2">
      <c r="A172" s="5" t="s">
        <v>380</v>
      </c>
      <c r="B172" s="8" t="s">
        <v>44</v>
      </c>
      <c r="C172" s="8" t="s">
        <v>30</v>
      </c>
      <c r="D172" s="8" t="s">
        <v>381</v>
      </c>
      <c r="E172" s="8"/>
      <c r="F172" s="9">
        <f>F173</f>
        <v>0</v>
      </c>
      <c r="G172" s="9">
        <f>G173</f>
        <v>150</v>
      </c>
      <c r="H172" s="9">
        <f>H173</f>
        <v>0</v>
      </c>
      <c r="I172" s="26"/>
      <c r="J172" s="26"/>
      <c r="K172" s="26"/>
      <c r="L172" s="26"/>
      <c r="M172" s="26"/>
      <c r="N172" s="26"/>
    </row>
    <row r="173" spans="1:15" s="3" customFormat="1" ht="25.5" x14ac:dyDescent="0.2">
      <c r="A173" s="27" t="s">
        <v>20</v>
      </c>
      <c r="B173" s="23" t="s">
        <v>44</v>
      </c>
      <c r="C173" s="23" t="s">
        <v>30</v>
      </c>
      <c r="D173" s="8" t="s">
        <v>381</v>
      </c>
      <c r="E173" s="23" t="s">
        <v>12</v>
      </c>
      <c r="F173" s="25">
        <v>0</v>
      </c>
      <c r="G173" s="25">
        <v>150</v>
      </c>
      <c r="H173" s="25">
        <v>0</v>
      </c>
      <c r="I173" s="13"/>
      <c r="J173" s="13"/>
      <c r="K173" s="13"/>
      <c r="L173" s="13"/>
      <c r="M173" s="13"/>
      <c r="N173" s="13"/>
    </row>
    <row r="174" spans="1:15" s="3" customFormat="1" ht="38.25" x14ac:dyDescent="0.2">
      <c r="A174" s="5" t="s">
        <v>401</v>
      </c>
      <c r="B174" s="8" t="s">
        <v>44</v>
      </c>
      <c r="C174" s="8" t="s">
        <v>30</v>
      </c>
      <c r="D174" s="8" t="s">
        <v>402</v>
      </c>
      <c r="E174" s="8"/>
      <c r="F174" s="9">
        <f>F176+F175</f>
        <v>21799.483809999998</v>
      </c>
      <c r="G174" s="9">
        <f t="shared" ref="G174:H174" si="25">G176+G175</f>
        <v>0</v>
      </c>
      <c r="H174" s="9">
        <f t="shared" si="25"/>
        <v>0</v>
      </c>
      <c r="I174" s="26"/>
      <c r="J174" s="26"/>
      <c r="K174" s="26"/>
      <c r="L174" s="26"/>
      <c r="M174" s="26"/>
      <c r="N174" s="26"/>
    </row>
    <row r="175" spans="1:15" s="3" customFormat="1" ht="25.5" x14ac:dyDescent="0.2">
      <c r="A175" s="27" t="s">
        <v>20</v>
      </c>
      <c r="B175" s="23" t="s">
        <v>44</v>
      </c>
      <c r="C175" s="23" t="s">
        <v>30</v>
      </c>
      <c r="D175" s="23" t="s">
        <v>402</v>
      </c>
      <c r="E175" s="23" t="s">
        <v>12</v>
      </c>
      <c r="F175" s="25">
        <f>13079.69333+1453.29926</f>
        <v>14532.99259</v>
      </c>
      <c r="G175" s="25"/>
      <c r="H175" s="25">
        <v>0</v>
      </c>
      <c r="I175" s="13"/>
      <c r="J175" s="13"/>
      <c r="K175" s="13"/>
      <c r="L175" s="13"/>
      <c r="M175" s="13"/>
      <c r="N175" s="13"/>
    </row>
    <row r="176" spans="1:15" s="3" customFormat="1" ht="25.5" x14ac:dyDescent="0.2">
      <c r="A176" s="27" t="s">
        <v>215</v>
      </c>
      <c r="B176" s="23" t="s">
        <v>44</v>
      </c>
      <c r="C176" s="23" t="s">
        <v>30</v>
      </c>
      <c r="D176" s="23" t="s">
        <v>402</v>
      </c>
      <c r="E176" s="23" t="s">
        <v>8</v>
      </c>
      <c r="F176" s="25">
        <f>6539.8421+726.64912</f>
        <v>7266.4912199999999</v>
      </c>
      <c r="G176" s="25"/>
      <c r="H176" s="25">
        <v>0</v>
      </c>
      <c r="I176" s="13"/>
      <c r="J176" s="13"/>
      <c r="K176" s="13"/>
      <c r="L176" s="13"/>
      <c r="M176" s="13"/>
      <c r="N176" s="13"/>
    </row>
    <row r="177" spans="1:8" x14ac:dyDescent="0.2">
      <c r="A177" s="10" t="s">
        <v>222</v>
      </c>
      <c r="B177" s="8" t="s">
        <v>44</v>
      </c>
      <c r="C177" s="8" t="s">
        <v>30</v>
      </c>
      <c r="D177" s="8" t="s">
        <v>223</v>
      </c>
      <c r="E177" s="8"/>
      <c r="F177" s="9">
        <f>F178</f>
        <v>400</v>
      </c>
      <c r="G177" s="9">
        <f>G178</f>
        <v>400</v>
      </c>
      <c r="H177" s="9">
        <f>H178</f>
        <v>400</v>
      </c>
    </row>
    <row r="178" spans="1:8" ht="25.5" x14ac:dyDescent="0.2">
      <c r="A178" s="27" t="s">
        <v>215</v>
      </c>
      <c r="B178" s="23" t="s">
        <v>44</v>
      </c>
      <c r="C178" s="23" t="s">
        <v>30</v>
      </c>
      <c r="D178" s="23" t="s">
        <v>223</v>
      </c>
      <c r="E178" s="23" t="s">
        <v>8</v>
      </c>
      <c r="F178" s="25">
        <v>400</v>
      </c>
      <c r="G178" s="25">
        <v>400</v>
      </c>
      <c r="H178" s="25">
        <v>400</v>
      </c>
    </row>
    <row r="179" spans="1:8" ht="25.5" x14ac:dyDescent="0.2">
      <c r="A179" s="10" t="s">
        <v>226</v>
      </c>
      <c r="B179" s="8" t="s">
        <v>44</v>
      </c>
      <c r="C179" s="8" t="s">
        <v>30</v>
      </c>
      <c r="D179" s="8" t="s">
        <v>224</v>
      </c>
      <c r="E179" s="8"/>
      <c r="F179" s="9">
        <f>F180</f>
        <v>3000</v>
      </c>
      <c r="G179" s="9">
        <f>G180</f>
        <v>3000</v>
      </c>
      <c r="H179" s="9">
        <f>H180</f>
        <v>3000</v>
      </c>
    </row>
    <row r="180" spans="1:8" ht="25.5" x14ac:dyDescent="0.2">
      <c r="A180" s="27" t="s">
        <v>215</v>
      </c>
      <c r="B180" s="23" t="s">
        <v>44</v>
      </c>
      <c r="C180" s="23" t="s">
        <v>30</v>
      </c>
      <c r="D180" s="23" t="s">
        <v>225</v>
      </c>
      <c r="E180" s="23" t="s">
        <v>8</v>
      </c>
      <c r="F180" s="25">
        <v>3000</v>
      </c>
      <c r="G180" s="25">
        <v>3000</v>
      </c>
      <c r="H180" s="25">
        <v>3000</v>
      </c>
    </row>
    <row r="181" spans="1:8" x14ac:dyDescent="0.2">
      <c r="A181" s="10" t="s">
        <v>228</v>
      </c>
      <c r="B181" s="23" t="s">
        <v>44</v>
      </c>
      <c r="C181" s="23" t="s">
        <v>30</v>
      </c>
      <c r="D181" s="8" t="s">
        <v>227</v>
      </c>
      <c r="E181" s="23"/>
      <c r="F181" s="25">
        <f>F182</f>
        <v>1500</v>
      </c>
      <c r="G181" s="25">
        <f>G182</f>
        <v>1500</v>
      </c>
      <c r="H181" s="25">
        <f>H182</f>
        <v>1500</v>
      </c>
    </row>
    <row r="182" spans="1:8" ht="25.5" x14ac:dyDescent="0.2">
      <c r="A182" s="27" t="s">
        <v>215</v>
      </c>
      <c r="B182" s="23" t="s">
        <v>44</v>
      </c>
      <c r="C182" s="23" t="s">
        <v>30</v>
      </c>
      <c r="D182" s="23" t="s">
        <v>227</v>
      </c>
      <c r="E182" s="23" t="s">
        <v>8</v>
      </c>
      <c r="F182" s="25">
        <v>1500</v>
      </c>
      <c r="G182" s="25">
        <v>1500</v>
      </c>
      <c r="H182" s="25">
        <v>1500</v>
      </c>
    </row>
    <row r="183" spans="1:8" ht="25.5" x14ac:dyDescent="0.2">
      <c r="A183" s="10" t="s">
        <v>230</v>
      </c>
      <c r="B183" s="8" t="s">
        <v>44</v>
      </c>
      <c r="C183" s="8" t="s">
        <v>30</v>
      </c>
      <c r="D183" s="6" t="s">
        <v>229</v>
      </c>
      <c r="E183" s="8"/>
      <c r="F183" s="9">
        <f>F184</f>
        <v>9690</v>
      </c>
      <c r="G183" s="9">
        <f>G184</f>
        <v>5660</v>
      </c>
      <c r="H183" s="9">
        <f>H184</f>
        <v>5660</v>
      </c>
    </row>
    <row r="184" spans="1:8" ht="25.5" x14ac:dyDescent="0.2">
      <c r="A184" s="27" t="s">
        <v>215</v>
      </c>
      <c r="B184" s="23" t="s">
        <v>44</v>
      </c>
      <c r="C184" s="23" t="s">
        <v>30</v>
      </c>
      <c r="D184" s="6" t="s">
        <v>229</v>
      </c>
      <c r="E184" s="23" t="s">
        <v>8</v>
      </c>
      <c r="F184" s="25">
        <f>5660+30+4000</f>
        <v>9690</v>
      </c>
      <c r="G184" s="25">
        <v>5660</v>
      </c>
      <c r="H184" s="25">
        <v>5660</v>
      </c>
    </row>
    <row r="185" spans="1:8" x14ac:dyDescent="0.2">
      <c r="A185" s="10" t="s">
        <v>404</v>
      </c>
      <c r="B185" s="8" t="s">
        <v>44</v>
      </c>
      <c r="C185" s="8" t="s">
        <v>30</v>
      </c>
      <c r="D185" s="6" t="s">
        <v>405</v>
      </c>
      <c r="E185" s="8"/>
      <c r="F185" s="9">
        <f>F186</f>
        <v>225.4</v>
      </c>
      <c r="G185" s="9">
        <f t="shared" ref="G185:H185" si="26">G186</f>
        <v>0</v>
      </c>
      <c r="H185" s="9">
        <f t="shared" si="26"/>
        <v>0</v>
      </c>
    </row>
    <row r="186" spans="1:8" ht="25.5" x14ac:dyDescent="0.2">
      <c r="A186" s="27" t="s">
        <v>215</v>
      </c>
      <c r="B186" s="23" t="s">
        <v>44</v>
      </c>
      <c r="C186" s="23" t="s">
        <v>30</v>
      </c>
      <c r="D186" s="6" t="s">
        <v>405</v>
      </c>
      <c r="E186" s="23" t="s">
        <v>8</v>
      </c>
      <c r="F186" s="25">
        <v>225.4</v>
      </c>
      <c r="G186" s="25">
        <v>0</v>
      </c>
      <c r="H186" s="25">
        <v>0</v>
      </c>
    </row>
    <row r="187" spans="1:8" ht="15.75" customHeight="1" x14ac:dyDescent="0.2">
      <c r="A187" s="14" t="s">
        <v>48</v>
      </c>
      <c r="B187" s="11" t="s">
        <v>44</v>
      </c>
      <c r="C187" s="11" t="s">
        <v>44</v>
      </c>
      <c r="D187" s="11"/>
      <c r="E187" s="11"/>
      <c r="F187" s="12">
        <f>F188+F190+F194</f>
        <v>27000</v>
      </c>
      <c r="G187" s="12">
        <f t="shared" ref="G187:H187" si="27">G188+G190+G194</f>
        <v>22025.300000000003</v>
      </c>
      <c r="H187" s="12">
        <f t="shared" si="27"/>
        <v>22025.300000000003</v>
      </c>
    </row>
    <row r="188" spans="1:8" ht="38.25" x14ac:dyDescent="0.2">
      <c r="A188" s="10" t="s">
        <v>232</v>
      </c>
      <c r="B188" s="8" t="s">
        <v>44</v>
      </c>
      <c r="C188" s="8" t="s">
        <v>44</v>
      </c>
      <c r="D188" s="8" t="s">
        <v>231</v>
      </c>
      <c r="E188" s="8"/>
      <c r="F188" s="9">
        <f>F189</f>
        <v>7264.9</v>
      </c>
      <c r="G188" s="9">
        <f>G189</f>
        <v>6359.7</v>
      </c>
      <c r="H188" s="9">
        <f>H189</f>
        <v>6359.7</v>
      </c>
    </row>
    <row r="189" spans="1:8" ht="25.5" x14ac:dyDescent="0.2">
      <c r="A189" s="27" t="s">
        <v>215</v>
      </c>
      <c r="B189" s="23" t="s">
        <v>44</v>
      </c>
      <c r="C189" s="23" t="s">
        <v>44</v>
      </c>
      <c r="D189" s="23" t="s">
        <v>231</v>
      </c>
      <c r="E189" s="23" t="s">
        <v>8</v>
      </c>
      <c r="F189" s="25">
        <f>6299.2+60.5+7.8+890.4+7</f>
        <v>7264.9</v>
      </c>
      <c r="G189" s="25">
        <f>6299.2+60.5</f>
        <v>6359.7</v>
      </c>
      <c r="H189" s="25">
        <f>6299.2+60.5</f>
        <v>6359.7</v>
      </c>
    </row>
    <row r="190" spans="1:8" ht="25.5" x14ac:dyDescent="0.2">
      <c r="A190" s="10" t="s">
        <v>234</v>
      </c>
      <c r="B190" s="8" t="s">
        <v>44</v>
      </c>
      <c r="C190" s="8" t="s">
        <v>44</v>
      </c>
      <c r="D190" s="8" t="s">
        <v>233</v>
      </c>
      <c r="E190" s="8"/>
      <c r="F190" s="9">
        <f>F191+F193+F192</f>
        <v>5110.3999999999996</v>
      </c>
      <c r="G190" s="9">
        <f t="shared" ref="G190:H190" si="28">G191+G193+G192</f>
        <v>4434.2</v>
      </c>
      <c r="H190" s="9">
        <f t="shared" si="28"/>
        <v>4434.2</v>
      </c>
    </row>
    <row r="191" spans="1:8" ht="51" x14ac:dyDescent="0.2">
      <c r="A191" s="22" t="s">
        <v>9</v>
      </c>
      <c r="B191" s="23" t="s">
        <v>44</v>
      </c>
      <c r="C191" s="23" t="s">
        <v>44</v>
      </c>
      <c r="D191" s="23" t="s">
        <v>233</v>
      </c>
      <c r="E191" s="23" t="s">
        <v>10</v>
      </c>
      <c r="F191" s="25">
        <f>3230.8+975.7+0.8+40.5+530.9</f>
        <v>4778.7</v>
      </c>
      <c r="G191" s="25">
        <f>3230.8+975.7+0.8+40.5</f>
        <v>4247.8</v>
      </c>
      <c r="H191" s="25">
        <f>3230.8+975.7+0.8+40.5</f>
        <v>4247.8</v>
      </c>
    </row>
    <row r="192" spans="1:8" ht="25.5" x14ac:dyDescent="0.2">
      <c r="A192" s="27" t="s">
        <v>20</v>
      </c>
      <c r="B192" s="23" t="s">
        <v>44</v>
      </c>
      <c r="C192" s="23" t="s">
        <v>44</v>
      </c>
      <c r="D192" s="23" t="s">
        <v>233</v>
      </c>
      <c r="E192" s="23" t="s">
        <v>12</v>
      </c>
      <c r="F192" s="25">
        <f>40+0.8+8+62.4+46+30-0.8+15-0.5+10+120.3</f>
        <v>331.2</v>
      </c>
      <c r="G192" s="25">
        <f>40+0.8+8+62.4+46+30-0.8</f>
        <v>186.39999999999998</v>
      </c>
      <c r="H192" s="25">
        <f>40+0.8+8+62.4+46+30-0.8</f>
        <v>186.39999999999998</v>
      </c>
    </row>
    <row r="193" spans="1:8" x14ac:dyDescent="0.2">
      <c r="A193" s="27" t="s">
        <v>16</v>
      </c>
      <c r="B193" s="23" t="s">
        <v>44</v>
      </c>
      <c r="C193" s="23" t="s">
        <v>44</v>
      </c>
      <c r="D193" s="23" t="s">
        <v>233</v>
      </c>
      <c r="E193" s="23" t="s">
        <v>17</v>
      </c>
      <c r="F193" s="25">
        <v>0.5</v>
      </c>
      <c r="G193" s="25">
        <v>0</v>
      </c>
      <c r="H193" s="25">
        <v>0</v>
      </c>
    </row>
    <row r="194" spans="1:8" ht="38.25" x14ac:dyDescent="0.2">
      <c r="A194" s="10" t="s">
        <v>236</v>
      </c>
      <c r="B194" s="23" t="s">
        <v>44</v>
      </c>
      <c r="C194" s="23" t="s">
        <v>44</v>
      </c>
      <c r="D194" s="8" t="s">
        <v>235</v>
      </c>
      <c r="E194" s="1"/>
      <c r="F194" s="2">
        <f>F195</f>
        <v>14624.700000000003</v>
      </c>
      <c r="G194" s="2">
        <f>G195</f>
        <v>11231.400000000001</v>
      </c>
      <c r="H194" s="2">
        <f>H195</f>
        <v>11231.400000000001</v>
      </c>
    </row>
    <row r="195" spans="1:8" ht="25.5" x14ac:dyDescent="0.2">
      <c r="A195" s="27" t="s">
        <v>215</v>
      </c>
      <c r="B195" s="23" t="s">
        <v>44</v>
      </c>
      <c r="C195" s="23" t="s">
        <v>44</v>
      </c>
      <c r="D195" s="23" t="s">
        <v>235</v>
      </c>
      <c r="E195" s="23" t="s">
        <v>8</v>
      </c>
      <c r="F195" s="25">
        <f>11136.2+95.2+1831.1+658+904.2</f>
        <v>14624.700000000003</v>
      </c>
      <c r="G195" s="25">
        <f>11136.2+95.2</f>
        <v>11231.400000000001</v>
      </c>
      <c r="H195" s="25">
        <f>11136.2+95.2</f>
        <v>11231.400000000001</v>
      </c>
    </row>
    <row r="196" spans="1:8" ht="15.75" x14ac:dyDescent="0.25">
      <c r="A196" s="35" t="s">
        <v>49</v>
      </c>
      <c r="B196" s="33" t="s">
        <v>33</v>
      </c>
      <c r="C196" s="33" t="s">
        <v>26</v>
      </c>
      <c r="D196" s="33"/>
      <c r="E196" s="33"/>
      <c r="F196" s="34">
        <f>F197+F209+F258+F252+F238</f>
        <v>1167614.5999999999</v>
      </c>
      <c r="G196" s="34">
        <f>G197+G209+G258+G252+G238</f>
        <v>1046497.5000000001</v>
      </c>
      <c r="H196" s="34">
        <f>H197+H209+H258+H252+H238</f>
        <v>1046954.1000000001</v>
      </c>
    </row>
    <row r="197" spans="1:8" x14ac:dyDescent="0.2">
      <c r="A197" s="14" t="s">
        <v>50</v>
      </c>
      <c r="B197" s="11" t="s">
        <v>33</v>
      </c>
      <c r="C197" s="11" t="s">
        <v>25</v>
      </c>
      <c r="D197" s="11"/>
      <c r="E197" s="11"/>
      <c r="F197" s="12">
        <f>F198+F200+F204</f>
        <v>414419.89999999997</v>
      </c>
      <c r="G197" s="12">
        <f t="shared" ref="G197:H197" si="29">G198+G200+G204</f>
        <v>353157.5</v>
      </c>
      <c r="H197" s="12">
        <f t="shared" si="29"/>
        <v>353540.8</v>
      </c>
    </row>
    <row r="198" spans="1:8" x14ac:dyDescent="0.2">
      <c r="A198" s="10" t="s">
        <v>205</v>
      </c>
      <c r="B198" s="8" t="s">
        <v>33</v>
      </c>
      <c r="C198" s="8" t="s">
        <v>25</v>
      </c>
      <c r="D198" s="23" t="s">
        <v>204</v>
      </c>
      <c r="E198" s="8"/>
      <c r="F198" s="9">
        <f>F199</f>
        <v>155.6</v>
      </c>
      <c r="G198" s="9">
        <f>G199</f>
        <v>0</v>
      </c>
      <c r="H198" s="9">
        <f>H199</f>
        <v>0</v>
      </c>
    </row>
    <row r="199" spans="1:8" ht="25.5" x14ac:dyDescent="0.2">
      <c r="A199" s="27" t="s">
        <v>74</v>
      </c>
      <c r="B199" s="8" t="s">
        <v>33</v>
      </c>
      <c r="C199" s="8" t="s">
        <v>25</v>
      </c>
      <c r="D199" s="23" t="s">
        <v>204</v>
      </c>
      <c r="E199" s="23" t="s">
        <v>15</v>
      </c>
      <c r="F199" s="25">
        <f>155.6-155.6+155.6</f>
        <v>155.6</v>
      </c>
      <c r="G199" s="25"/>
      <c r="H199" s="25"/>
    </row>
    <row r="200" spans="1:8" ht="51" x14ac:dyDescent="0.2">
      <c r="A200" s="58" t="s">
        <v>368</v>
      </c>
      <c r="B200" s="8" t="s">
        <v>33</v>
      </c>
      <c r="C200" s="8" t="s">
        <v>25</v>
      </c>
      <c r="D200" s="8" t="s">
        <v>115</v>
      </c>
      <c r="E200" s="8"/>
      <c r="F200" s="9">
        <f>F203+F201+F202</f>
        <v>222002.29999999996</v>
      </c>
      <c r="G200" s="9">
        <f t="shared" ref="G200:H200" si="30">G203+G201+G202</f>
        <v>216433.3</v>
      </c>
      <c r="H200" s="9">
        <f t="shared" si="30"/>
        <v>216433.3</v>
      </c>
    </row>
    <row r="201" spans="1:8" ht="51" x14ac:dyDescent="0.2">
      <c r="A201" s="22" t="s">
        <v>9</v>
      </c>
      <c r="B201" s="23" t="s">
        <v>33</v>
      </c>
      <c r="C201" s="23" t="s">
        <v>25</v>
      </c>
      <c r="D201" s="23" t="s">
        <v>115</v>
      </c>
      <c r="E201" s="24" t="s">
        <v>10</v>
      </c>
      <c r="F201" s="25">
        <f>21839+6595.4+2952.7+891.7+3741.2+753.3</f>
        <v>36773.300000000003</v>
      </c>
      <c r="G201" s="25">
        <f>21839+6595.4+2952.7+891.7</f>
        <v>32278.800000000003</v>
      </c>
      <c r="H201" s="25">
        <f>21839+6595.4+2952.7+891.7</f>
        <v>32278.800000000003</v>
      </c>
    </row>
    <row r="202" spans="1:8" ht="25.5" x14ac:dyDescent="0.2">
      <c r="A202" s="27" t="s">
        <v>20</v>
      </c>
      <c r="B202" s="23" t="s">
        <v>33</v>
      </c>
      <c r="C202" s="23" t="s">
        <v>25</v>
      </c>
      <c r="D202" s="23" t="s">
        <v>115</v>
      </c>
      <c r="E202" s="24" t="s">
        <v>12</v>
      </c>
      <c r="F202" s="25">
        <f>21+43.7+30+20+27.9+1.3</f>
        <v>143.9</v>
      </c>
      <c r="G202" s="25">
        <f>21+43.7+30+20</f>
        <v>114.7</v>
      </c>
      <c r="H202" s="25">
        <f>21+43.7+30+20</f>
        <v>114.7</v>
      </c>
    </row>
    <row r="203" spans="1:8" ht="25.5" x14ac:dyDescent="0.2">
      <c r="A203" s="27" t="s">
        <v>215</v>
      </c>
      <c r="B203" s="23" t="s">
        <v>33</v>
      </c>
      <c r="C203" s="23" t="s">
        <v>25</v>
      </c>
      <c r="D203" s="23" t="s">
        <v>115</v>
      </c>
      <c r="E203" s="23" t="s">
        <v>8</v>
      </c>
      <c r="F203" s="25">
        <f>111038.5+33533.6+358.5+218.7+150+492.3+12536.5+3786+30+30.3+36.5+75+15013.1+4533.9+1695+511.9-3769.1+4814.4</f>
        <v>185085.09999999998</v>
      </c>
      <c r="G203" s="25">
        <f>111038.5+33533.6+358.5+218.7+150+492.3+12536.5+3786+30+30.3+36.5+75+15013.1+4533.9+1695+511.9</f>
        <v>184039.8</v>
      </c>
      <c r="H203" s="25">
        <f>111038.5+33533.6+358.5+218.7+150+492.3+12536.5+3786+30+30.3+36.5+75+15013.1+4533.9+1695+511.9</f>
        <v>184039.8</v>
      </c>
    </row>
    <row r="204" spans="1:8" ht="53.25" customHeight="1" x14ac:dyDescent="0.2">
      <c r="A204" s="10" t="s">
        <v>349</v>
      </c>
      <c r="B204" s="8" t="s">
        <v>33</v>
      </c>
      <c r="C204" s="8" t="s">
        <v>25</v>
      </c>
      <c r="D204" s="8" t="s">
        <v>239</v>
      </c>
      <c r="E204" s="8"/>
      <c r="F204" s="9">
        <f>F207+F206+F205+F208</f>
        <v>192262</v>
      </c>
      <c r="G204" s="9">
        <f>G207+G206+G205+G208</f>
        <v>136724.19999999998</v>
      </c>
      <c r="H204" s="9">
        <f>H207+H206+H205+H208</f>
        <v>137107.5</v>
      </c>
    </row>
    <row r="205" spans="1:8" ht="39.75" customHeight="1" x14ac:dyDescent="0.2">
      <c r="A205" s="22" t="s">
        <v>9</v>
      </c>
      <c r="B205" s="23" t="s">
        <v>33</v>
      </c>
      <c r="C205" s="23" t="s">
        <v>25</v>
      </c>
      <c r="D205" s="23" t="s">
        <v>239</v>
      </c>
      <c r="E205" s="24" t="s">
        <v>10</v>
      </c>
      <c r="F205" s="9">
        <f>11713.1+1122.7+103.8+245.8-7.3+1452.8+7196.3</f>
        <v>21827.200000000001</v>
      </c>
      <c r="G205" s="9">
        <f>11713.1+103.8+324.7</f>
        <v>12141.6</v>
      </c>
      <c r="H205" s="9">
        <f>11713.1+103.8+405.4</f>
        <v>12222.3</v>
      </c>
    </row>
    <row r="206" spans="1:8" ht="25.5" x14ac:dyDescent="0.2">
      <c r="A206" s="27" t="s">
        <v>20</v>
      </c>
      <c r="B206" s="23" t="s">
        <v>33</v>
      </c>
      <c r="C206" s="23" t="s">
        <v>25</v>
      </c>
      <c r="D206" s="23" t="s">
        <v>239</v>
      </c>
      <c r="E206" s="24" t="s">
        <v>12</v>
      </c>
      <c r="F206" s="25">
        <f>4493.7+3188+39.5+368+50.9+300+150+23+275.5-40+1285.2-7.5-61.5+180+1356</f>
        <v>11600.8</v>
      </c>
      <c r="G206" s="25">
        <f>4493.7+3188</f>
        <v>7681.7</v>
      </c>
      <c r="H206" s="25">
        <f>4493.7+3188</f>
        <v>7681.7</v>
      </c>
    </row>
    <row r="207" spans="1:8" ht="25.5" x14ac:dyDescent="0.2">
      <c r="A207" s="27" t="s">
        <v>215</v>
      </c>
      <c r="B207" s="23" t="s">
        <v>33</v>
      </c>
      <c r="C207" s="23" t="s">
        <v>25</v>
      </c>
      <c r="D207" s="23" t="s">
        <v>239</v>
      </c>
      <c r="E207" s="23" t="s">
        <v>8</v>
      </c>
      <c r="F207" s="25">
        <f>113285.5-1122.7+737+920.2+3.7-627.9-8.1-345-111.5+476.7+303+80-1709.5+55.5-13.4-155+20+35998.7+50+2+310.8+853.2+9605.3</f>
        <v>158608.5</v>
      </c>
      <c r="G207" s="25">
        <f>114832.4+737+1215.5</f>
        <v>116784.9</v>
      </c>
      <c r="H207" s="25">
        <f>114832.4+737+1518.1</f>
        <v>117087.5</v>
      </c>
    </row>
    <row r="208" spans="1:8" x14ac:dyDescent="0.2">
      <c r="A208" s="27" t="s">
        <v>16</v>
      </c>
      <c r="B208" s="23" t="s">
        <v>33</v>
      </c>
      <c r="C208" s="23" t="s">
        <v>25</v>
      </c>
      <c r="D208" s="23" t="s">
        <v>239</v>
      </c>
      <c r="E208" s="23" t="s">
        <v>17</v>
      </c>
      <c r="F208" s="25">
        <f>116+35+5+50+19.5</f>
        <v>225.5</v>
      </c>
      <c r="G208" s="25">
        <v>116</v>
      </c>
      <c r="H208" s="25">
        <v>116</v>
      </c>
    </row>
    <row r="209" spans="1:8" x14ac:dyDescent="0.2">
      <c r="A209" s="14" t="s">
        <v>51</v>
      </c>
      <c r="B209" s="11" t="s">
        <v>33</v>
      </c>
      <c r="C209" s="11" t="s">
        <v>28</v>
      </c>
      <c r="D209" s="11"/>
      <c r="E209" s="11"/>
      <c r="F209" s="12">
        <f>F210+F214+F218+F220+F222+F226+F235+F232+F229</f>
        <v>480513.30000000005</v>
      </c>
      <c r="G209" s="12">
        <f t="shared" ref="G209:H209" si="31">G210+G214+G218+G220+G222+G226+G235+G232+G229</f>
        <v>454697.50000000012</v>
      </c>
      <c r="H209" s="12">
        <f t="shared" si="31"/>
        <v>454697.50000000012</v>
      </c>
    </row>
    <row r="210" spans="1:8" ht="25.5" x14ac:dyDescent="0.2">
      <c r="A210" s="10" t="s">
        <v>240</v>
      </c>
      <c r="B210" s="8" t="s">
        <v>33</v>
      </c>
      <c r="C210" s="8" t="s">
        <v>28</v>
      </c>
      <c r="D210" s="8" t="s">
        <v>113</v>
      </c>
      <c r="E210" s="8"/>
      <c r="F210" s="9">
        <f>F211+F212+F213</f>
        <v>45895.600000000006</v>
      </c>
      <c r="G210" s="9">
        <f>G211+G212+G213</f>
        <v>49380.800000000003</v>
      </c>
      <c r="H210" s="9">
        <f>H211+H212+H213</f>
        <v>49380.800000000003</v>
      </c>
    </row>
    <row r="211" spans="1:8" ht="51" x14ac:dyDescent="0.2">
      <c r="A211" s="22" t="s">
        <v>9</v>
      </c>
      <c r="B211" s="23" t="s">
        <v>33</v>
      </c>
      <c r="C211" s="23" t="s">
        <v>28</v>
      </c>
      <c r="D211" s="23" t="s">
        <v>113</v>
      </c>
      <c r="E211" s="24" t="s">
        <v>10</v>
      </c>
      <c r="F211" s="25">
        <f>29001.8+8758.5+5+114.5+34.6-3580+26.3</f>
        <v>34360.700000000004</v>
      </c>
      <c r="G211" s="25">
        <f>29001.8+8758.5+5+114.5+34.6</f>
        <v>37914.400000000001</v>
      </c>
      <c r="H211" s="25">
        <f>29001.8+8758.5+5+114.5+34.6</f>
        <v>37914.400000000001</v>
      </c>
    </row>
    <row r="212" spans="1:8" ht="25.5" x14ac:dyDescent="0.2">
      <c r="A212" s="27" t="s">
        <v>20</v>
      </c>
      <c r="B212" s="23" t="s">
        <v>33</v>
      </c>
      <c r="C212" s="23" t="s">
        <v>28</v>
      </c>
      <c r="D212" s="23" t="s">
        <v>113</v>
      </c>
      <c r="E212" s="24" t="s">
        <v>12</v>
      </c>
      <c r="F212" s="25">
        <f>28+351.8+2783.6+779.5+95.3+26.1+11+722.2+4314.7+20+960.5+142+350.6+30+36.1+94.8-26.3</f>
        <v>10719.900000000001</v>
      </c>
      <c r="G212" s="25">
        <f>28+351.8+2783.6+779.5+95.3+26.1+11+722.2+4314.7+20+960.5+142+350.6+30+36.1</f>
        <v>10651.400000000001</v>
      </c>
      <c r="H212" s="25">
        <f>28+351.8+2783.6+779.5+95.3+26.1+11+722.2+4314.7+20+960.5+142+350.6+30+36.1</f>
        <v>10651.400000000001</v>
      </c>
    </row>
    <row r="213" spans="1:8" x14ac:dyDescent="0.2">
      <c r="A213" s="27" t="s">
        <v>16</v>
      </c>
      <c r="B213" s="23" t="s">
        <v>33</v>
      </c>
      <c r="C213" s="23" t="s">
        <v>28</v>
      </c>
      <c r="D213" s="23" t="s">
        <v>113</v>
      </c>
      <c r="E213" s="23" t="s">
        <v>17</v>
      </c>
      <c r="F213" s="25">
        <f>5+800+5+5</f>
        <v>815</v>
      </c>
      <c r="G213" s="25">
        <f>5+800+5+5</f>
        <v>815</v>
      </c>
      <c r="H213" s="25">
        <f>5+800+5+5</f>
        <v>815</v>
      </c>
    </row>
    <row r="214" spans="1:8" ht="63.75" x14ac:dyDescent="0.2">
      <c r="A214" s="10" t="s">
        <v>334</v>
      </c>
      <c r="B214" s="8" t="s">
        <v>33</v>
      </c>
      <c r="C214" s="8" t="s">
        <v>28</v>
      </c>
      <c r="D214" s="8" t="s">
        <v>111</v>
      </c>
      <c r="E214" s="8"/>
      <c r="F214" s="9">
        <f>F215+F216+F217</f>
        <v>365785.20000000007</v>
      </c>
      <c r="G214" s="9">
        <f>G215+G216+G217</f>
        <v>350381.30000000005</v>
      </c>
      <c r="H214" s="9">
        <f>H215+H216+H217</f>
        <v>350381.30000000005</v>
      </c>
    </row>
    <row r="215" spans="1:8" ht="51" x14ac:dyDescent="0.2">
      <c r="A215" s="22" t="s">
        <v>9</v>
      </c>
      <c r="B215" s="23" t="s">
        <v>33</v>
      </c>
      <c r="C215" s="23" t="s">
        <v>28</v>
      </c>
      <c r="D215" s="23" t="s">
        <v>111</v>
      </c>
      <c r="E215" s="24" t="s">
        <v>10</v>
      </c>
      <c r="F215" s="25">
        <f>46870+14154.7+3692+1114.9+3397.6</f>
        <v>69229.2</v>
      </c>
      <c r="G215" s="25">
        <f>46870+14154.7+3692+1114.9</f>
        <v>65831.599999999991</v>
      </c>
      <c r="H215" s="25">
        <f>46870+14154.7+3692+1114.9</f>
        <v>65831.599999999991</v>
      </c>
    </row>
    <row r="216" spans="1:8" ht="25.5" x14ac:dyDescent="0.2">
      <c r="A216" s="27" t="s">
        <v>20</v>
      </c>
      <c r="B216" s="23" t="s">
        <v>33</v>
      </c>
      <c r="C216" s="23" t="s">
        <v>28</v>
      </c>
      <c r="D216" s="23" t="s">
        <v>111</v>
      </c>
      <c r="E216" s="24" t="s">
        <v>12</v>
      </c>
      <c r="F216" s="25">
        <f>1570.2+6.9+51.2+40.4+9+78.5+207.6</f>
        <v>1963.8000000000002</v>
      </c>
      <c r="G216" s="25">
        <f>1570.2+6.9+51.2+40.4+9+78.5</f>
        <v>1756.2000000000003</v>
      </c>
      <c r="H216" s="25">
        <f>1570.2+6.9+51.2+40.4+9+78.5</f>
        <v>1756.2000000000003</v>
      </c>
    </row>
    <row r="217" spans="1:8" ht="25.5" x14ac:dyDescent="0.2">
      <c r="A217" s="27" t="s">
        <v>215</v>
      </c>
      <c r="B217" s="23" t="s">
        <v>33</v>
      </c>
      <c r="C217" s="23" t="s">
        <v>28</v>
      </c>
      <c r="D217" s="23" t="s">
        <v>111</v>
      </c>
      <c r="E217" s="23" t="s">
        <v>8</v>
      </c>
      <c r="F217" s="25">
        <f>182265.5+55044.2+1832.9+360+227.2+20.8+135+2800.5+14983+4524.9+24.4+19.9+41.1+15+251.7+14357+4335.8+17.6+1180.2+356.4+0.4+11798.7</f>
        <v>294592.20000000007</v>
      </c>
      <c r="G217" s="25">
        <f>182265.5+55044.2+1832.9+360+227.2+20.8+135+2800.5+14983+4524.9+24.4+19.9+41.1+15+251.7+14357+4335.8+17.6+1180.2+356.4+0.4</f>
        <v>282793.50000000006</v>
      </c>
      <c r="H217" s="25">
        <f>182265.5+55044.2+1832.9+360+227.2+20.8+135+2800.5+14983+4524.9+24.4+19.9+41.1+15+251.7+14357+4335.8+17.6+1180.2+356.4+0.4</f>
        <v>282793.50000000006</v>
      </c>
    </row>
    <row r="218" spans="1:8" ht="38.25" x14ac:dyDescent="0.2">
      <c r="A218" s="10" t="s">
        <v>241</v>
      </c>
      <c r="B218" s="8" t="s">
        <v>33</v>
      </c>
      <c r="C218" s="8" t="s">
        <v>28</v>
      </c>
      <c r="D218" s="8" t="s">
        <v>112</v>
      </c>
      <c r="E218" s="8"/>
      <c r="F218" s="9">
        <f>F219</f>
        <v>3738</v>
      </c>
      <c r="G218" s="9">
        <f t="shared" ref="G218:H218" si="32">G219</f>
        <v>3738</v>
      </c>
      <c r="H218" s="9">
        <f t="shared" si="32"/>
        <v>3738</v>
      </c>
    </row>
    <row r="219" spans="1:8" ht="25.5" x14ac:dyDescent="0.2">
      <c r="A219" s="27" t="s">
        <v>20</v>
      </c>
      <c r="B219" s="23" t="s">
        <v>33</v>
      </c>
      <c r="C219" s="23" t="s">
        <v>28</v>
      </c>
      <c r="D219" s="23" t="s">
        <v>112</v>
      </c>
      <c r="E219" s="24" t="s">
        <v>12</v>
      </c>
      <c r="F219" s="25">
        <v>3738</v>
      </c>
      <c r="G219" s="25">
        <v>3738</v>
      </c>
      <c r="H219" s="25">
        <v>3738</v>
      </c>
    </row>
    <row r="220" spans="1:8" ht="51" x14ac:dyDescent="0.2">
      <c r="A220" s="10" t="s">
        <v>349</v>
      </c>
      <c r="B220" s="8" t="s">
        <v>33</v>
      </c>
      <c r="C220" s="8" t="s">
        <v>28</v>
      </c>
      <c r="D220" s="8" t="s">
        <v>237</v>
      </c>
      <c r="E220" s="8"/>
      <c r="F220" s="9">
        <f>F221</f>
        <v>53812.6</v>
      </c>
      <c r="G220" s="9">
        <f>G221</f>
        <v>41495.4</v>
      </c>
      <c r="H220" s="9">
        <f>H221</f>
        <v>41495.4</v>
      </c>
    </row>
    <row r="221" spans="1:8" ht="25.5" x14ac:dyDescent="0.2">
      <c r="A221" s="27" t="s">
        <v>215</v>
      </c>
      <c r="B221" s="23" t="s">
        <v>33</v>
      </c>
      <c r="C221" s="23" t="s">
        <v>28</v>
      </c>
      <c r="D221" s="23" t="s">
        <v>237</v>
      </c>
      <c r="E221" s="23" t="s">
        <v>8</v>
      </c>
      <c r="F221" s="25">
        <f>39251.1-39.5+167.2-120-923.6-115.9-15+6590.2-144.7-167.2-895.2-216+108.7-25+40-4050.9-4.5-50.4+1291.3+797.5+12334.5</f>
        <v>53812.6</v>
      </c>
      <c r="G221" s="25">
        <v>41495.4</v>
      </c>
      <c r="H221" s="25">
        <v>41495.4</v>
      </c>
    </row>
    <row r="222" spans="1:8" ht="51" x14ac:dyDescent="0.2">
      <c r="A222" s="10" t="s">
        <v>244</v>
      </c>
      <c r="B222" s="8" t="s">
        <v>33</v>
      </c>
      <c r="C222" s="8" t="s">
        <v>28</v>
      </c>
      <c r="D222" s="8" t="s">
        <v>245</v>
      </c>
      <c r="E222" s="8"/>
      <c r="F222" s="9">
        <f>F223+F224+F225</f>
        <v>8811.8000000000011</v>
      </c>
      <c r="G222" s="9">
        <f>G223+G224+G225</f>
        <v>7181.9000000000005</v>
      </c>
      <c r="H222" s="9">
        <f>H223+H224+H225</f>
        <v>7181.9000000000005</v>
      </c>
    </row>
    <row r="223" spans="1:8" ht="51" x14ac:dyDescent="0.2">
      <c r="A223" s="22" t="s">
        <v>9</v>
      </c>
      <c r="B223" s="23" t="s">
        <v>33</v>
      </c>
      <c r="C223" s="23" t="s">
        <v>28</v>
      </c>
      <c r="D223" s="23" t="s">
        <v>245</v>
      </c>
      <c r="E223" s="24" t="s">
        <v>10</v>
      </c>
      <c r="F223" s="25">
        <f>4.6+6</f>
        <v>10.6</v>
      </c>
      <c r="G223" s="25">
        <v>4.5999999999999996</v>
      </c>
      <c r="H223" s="25">
        <v>4.5999999999999996</v>
      </c>
    </row>
    <row r="224" spans="1:8" ht="25.5" x14ac:dyDescent="0.2">
      <c r="A224" s="27" t="s">
        <v>20</v>
      </c>
      <c r="B224" s="23" t="s">
        <v>33</v>
      </c>
      <c r="C224" s="23" t="s">
        <v>28</v>
      </c>
      <c r="D224" s="23" t="s">
        <v>245</v>
      </c>
      <c r="E224" s="24" t="s">
        <v>12</v>
      </c>
      <c r="F224" s="25">
        <f>7177.3-474.5-167.2+697.2-1237.5-125-6+167.2+50+50-263.7+5+50+1187.5+167.7+532.1-148.9+661.5</f>
        <v>8322.7000000000007</v>
      </c>
      <c r="G224" s="25">
        <f>7177.3-474.5</f>
        <v>6702.8</v>
      </c>
      <c r="H224" s="25">
        <f>7177.3-474.5</f>
        <v>6702.8</v>
      </c>
    </row>
    <row r="225" spans="1:8" x14ac:dyDescent="0.2">
      <c r="A225" s="27" t="s">
        <v>16</v>
      </c>
      <c r="B225" s="23" t="s">
        <v>33</v>
      </c>
      <c r="C225" s="23" t="s">
        <v>28</v>
      </c>
      <c r="D225" s="23" t="s">
        <v>245</v>
      </c>
      <c r="E225" s="23" t="s">
        <v>17</v>
      </c>
      <c r="F225" s="25">
        <f>474.5+20+2-18</f>
        <v>478.5</v>
      </c>
      <c r="G225" s="25">
        <v>474.5</v>
      </c>
      <c r="H225" s="25">
        <v>474.5</v>
      </c>
    </row>
    <row r="226" spans="1:8" ht="51" x14ac:dyDescent="0.2">
      <c r="A226" s="10" t="s">
        <v>244</v>
      </c>
      <c r="B226" s="8" t="s">
        <v>33</v>
      </c>
      <c r="C226" s="8" t="s">
        <v>28</v>
      </c>
      <c r="D226" s="8" t="s">
        <v>247</v>
      </c>
      <c r="E226" s="8"/>
      <c r="F226" s="9">
        <f>F227+F228</f>
        <v>784.4</v>
      </c>
      <c r="G226" s="9">
        <f>G227+G228</f>
        <v>834.4</v>
      </c>
      <c r="H226" s="9">
        <f>H227+H228</f>
        <v>834.4</v>
      </c>
    </row>
    <row r="227" spans="1:8" ht="25.5" x14ac:dyDescent="0.2">
      <c r="A227" s="27" t="s">
        <v>20</v>
      </c>
      <c r="B227" s="23" t="s">
        <v>33</v>
      </c>
      <c r="C227" s="23" t="s">
        <v>28</v>
      </c>
      <c r="D227" s="23" t="s">
        <v>247</v>
      </c>
      <c r="E227" s="24" t="s">
        <v>12</v>
      </c>
      <c r="F227" s="25">
        <f>564.4+200</f>
        <v>764.4</v>
      </c>
      <c r="G227" s="25">
        <f>564.4+200</f>
        <v>764.4</v>
      </c>
      <c r="H227" s="25">
        <f>564.4+200</f>
        <v>764.4</v>
      </c>
    </row>
    <row r="228" spans="1:8" x14ac:dyDescent="0.2">
      <c r="A228" s="27" t="s">
        <v>16</v>
      </c>
      <c r="B228" s="23" t="s">
        <v>33</v>
      </c>
      <c r="C228" s="23" t="s">
        <v>28</v>
      </c>
      <c r="D228" s="23" t="s">
        <v>247</v>
      </c>
      <c r="E228" s="23" t="s">
        <v>17</v>
      </c>
      <c r="F228" s="25">
        <f>70-50</f>
        <v>20</v>
      </c>
      <c r="G228" s="25">
        <f>70</f>
        <v>70</v>
      </c>
      <c r="H228" s="25">
        <f>70</f>
        <v>70</v>
      </c>
    </row>
    <row r="229" spans="1:8" ht="25.5" x14ac:dyDescent="0.2">
      <c r="A229" s="10" t="s">
        <v>242</v>
      </c>
      <c r="B229" s="8" t="s">
        <v>33</v>
      </c>
      <c r="C229" s="8" t="s">
        <v>28</v>
      </c>
      <c r="D229" s="8" t="s">
        <v>129</v>
      </c>
      <c r="E229" s="8"/>
      <c r="F229" s="9">
        <f>F231+F230</f>
        <v>249.70000000000005</v>
      </c>
      <c r="G229" s="9">
        <f t="shared" ref="G229:H229" si="33">G231+G230</f>
        <v>249.70000000000005</v>
      </c>
      <c r="H229" s="9">
        <f t="shared" si="33"/>
        <v>249.70000000000005</v>
      </c>
    </row>
    <row r="230" spans="1:8" s="26" customFormat="1" ht="25.5" x14ac:dyDescent="0.2">
      <c r="A230" s="27" t="s">
        <v>20</v>
      </c>
      <c r="B230" s="23" t="s">
        <v>33</v>
      </c>
      <c r="C230" s="23" t="s">
        <v>28</v>
      </c>
      <c r="D230" s="23" t="s">
        <v>129</v>
      </c>
      <c r="E230" s="24" t="s">
        <v>12</v>
      </c>
      <c r="F230" s="25">
        <f>29.5+28.2</f>
        <v>57.7</v>
      </c>
      <c r="G230" s="25">
        <f>29.5+28.2</f>
        <v>57.7</v>
      </c>
      <c r="H230" s="25">
        <f>29.5+28.2</f>
        <v>57.7</v>
      </c>
    </row>
    <row r="231" spans="1:8" ht="25.5" x14ac:dyDescent="0.2">
      <c r="A231" s="27" t="s">
        <v>215</v>
      </c>
      <c r="B231" s="23" t="s">
        <v>33</v>
      </c>
      <c r="C231" s="23" t="s">
        <v>28</v>
      </c>
      <c r="D231" s="23" t="s">
        <v>129</v>
      </c>
      <c r="E231" s="23" t="s">
        <v>8</v>
      </c>
      <c r="F231" s="25">
        <f>88.4+84.4+9.8+9.4</f>
        <v>192.00000000000003</v>
      </c>
      <c r="G231" s="25">
        <f t="shared" ref="G231:H231" si="34">88.4+84.4+9.8+9.4</f>
        <v>192.00000000000003</v>
      </c>
      <c r="H231" s="25">
        <f t="shared" si="34"/>
        <v>192.00000000000003</v>
      </c>
    </row>
    <row r="232" spans="1:8" ht="25.5" x14ac:dyDescent="0.2">
      <c r="A232" s="10" t="s">
        <v>249</v>
      </c>
      <c r="B232" s="8" t="s">
        <v>33</v>
      </c>
      <c r="C232" s="8" t="s">
        <v>28</v>
      </c>
      <c r="D232" s="8" t="s">
        <v>130</v>
      </c>
      <c r="E232" s="8"/>
      <c r="F232" s="9">
        <f>F234+F233</f>
        <v>1186</v>
      </c>
      <c r="G232" s="9">
        <f>G234+G233</f>
        <v>1186</v>
      </c>
      <c r="H232" s="9">
        <f>H234+H233</f>
        <v>1186</v>
      </c>
    </row>
    <row r="233" spans="1:8" s="4" customFormat="1" x14ac:dyDescent="0.2">
      <c r="A233" s="27" t="s">
        <v>13</v>
      </c>
      <c r="B233" s="23" t="s">
        <v>33</v>
      </c>
      <c r="C233" s="23" t="s">
        <v>28</v>
      </c>
      <c r="D233" s="8" t="s">
        <v>130</v>
      </c>
      <c r="E233" s="23" t="s">
        <v>14</v>
      </c>
      <c r="F233" s="25">
        <v>50</v>
      </c>
      <c r="G233" s="25">
        <v>50</v>
      </c>
      <c r="H233" s="25">
        <v>50</v>
      </c>
    </row>
    <row r="234" spans="1:8" ht="25.5" x14ac:dyDescent="0.2">
      <c r="A234" s="27" t="s">
        <v>215</v>
      </c>
      <c r="B234" s="23" t="s">
        <v>33</v>
      </c>
      <c r="C234" s="23" t="s">
        <v>28</v>
      </c>
      <c r="D234" s="8" t="s">
        <v>130</v>
      </c>
      <c r="E234" s="23" t="s">
        <v>8</v>
      </c>
      <c r="F234" s="25">
        <f>992.5+143.5</f>
        <v>1136</v>
      </c>
      <c r="G234" s="25">
        <f>992.5+143.5</f>
        <v>1136</v>
      </c>
      <c r="H234" s="25">
        <f>992.5+143.5</f>
        <v>1136</v>
      </c>
    </row>
    <row r="235" spans="1:8" x14ac:dyDescent="0.2">
      <c r="A235" s="10" t="s">
        <v>353</v>
      </c>
      <c r="B235" s="8" t="s">
        <v>33</v>
      </c>
      <c r="C235" s="8" t="s">
        <v>28</v>
      </c>
      <c r="D235" s="8" t="s">
        <v>250</v>
      </c>
      <c r="E235" s="8"/>
      <c r="F235" s="9">
        <f>F237+F236</f>
        <v>250</v>
      </c>
      <c r="G235" s="9">
        <f>G237+G236</f>
        <v>250</v>
      </c>
      <c r="H235" s="9">
        <f>H237+H236</f>
        <v>250</v>
      </c>
    </row>
    <row r="236" spans="1:8" x14ac:dyDescent="0.2">
      <c r="A236" s="27" t="s">
        <v>13</v>
      </c>
      <c r="B236" s="23" t="s">
        <v>33</v>
      </c>
      <c r="C236" s="23" t="s">
        <v>28</v>
      </c>
      <c r="D236" s="8" t="s">
        <v>250</v>
      </c>
      <c r="E236" s="23" t="s">
        <v>14</v>
      </c>
      <c r="F236" s="25">
        <f>2-2+2</f>
        <v>2</v>
      </c>
      <c r="G236" s="25">
        <v>2</v>
      </c>
      <c r="H236" s="25">
        <v>2</v>
      </c>
    </row>
    <row r="237" spans="1:8" ht="25.5" x14ac:dyDescent="0.2">
      <c r="A237" s="27" t="s">
        <v>215</v>
      </c>
      <c r="B237" s="23" t="s">
        <v>33</v>
      </c>
      <c r="C237" s="23" t="s">
        <v>28</v>
      </c>
      <c r="D237" s="8" t="s">
        <v>250</v>
      </c>
      <c r="E237" s="23" t="s">
        <v>8</v>
      </c>
      <c r="F237" s="25">
        <f>248-248+248</f>
        <v>248</v>
      </c>
      <c r="G237" s="25">
        <v>248</v>
      </c>
      <c r="H237" s="25">
        <v>248</v>
      </c>
    </row>
    <row r="238" spans="1:8" x14ac:dyDescent="0.2">
      <c r="A238" s="14" t="s">
        <v>329</v>
      </c>
      <c r="B238" s="11" t="s">
        <v>33</v>
      </c>
      <c r="C238" s="11" t="s">
        <v>30</v>
      </c>
      <c r="D238" s="11"/>
      <c r="E238" s="11"/>
      <c r="F238" s="12">
        <f>F241+F245+F248+F250+F243+F239</f>
        <v>185173.3</v>
      </c>
      <c r="G238" s="12">
        <f>G241+G245+G248+G250+G243+G239</f>
        <v>165806.50000000003</v>
      </c>
      <c r="H238" s="12">
        <f>H241+H245+H248+H250+H243+H239</f>
        <v>165879.80000000002</v>
      </c>
    </row>
    <row r="239" spans="1:8" ht="25.5" x14ac:dyDescent="0.2">
      <c r="A239" s="10" t="s">
        <v>242</v>
      </c>
      <c r="B239" s="8" t="s">
        <v>33</v>
      </c>
      <c r="C239" s="8" t="s">
        <v>30</v>
      </c>
      <c r="D239" s="8" t="s">
        <v>129</v>
      </c>
      <c r="E239" s="8"/>
      <c r="F239" s="9">
        <f>F240</f>
        <v>115.3</v>
      </c>
      <c r="G239" s="9">
        <f t="shared" ref="G239:H239" si="35">G240</f>
        <v>115.3</v>
      </c>
      <c r="H239" s="9">
        <f t="shared" si="35"/>
        <v>115.3</v>
      </c>
    </row>
    <row r="240" spans="1:8" ht="25.5" x14ac:dyDescent="0.2">
      <c r="A240" s="27" t="s">
        <v>215</v>
      </c>
      <c r="B240" s="23" t="s">
        <v>33</v>
      </c>
      <c r="C240" s="23" t="s">
        <v>30</v>
      </c>
      <c r="D240" s="23" t="s">
        <v>129</v>
      </c>
      <c r="E240" s="23" t="s">
        <v>8</v>
      </c>
      <c r="F240" s="25">
        <f>59+56.3</f>
        <v>115.3</v>
      </c>
      <c r="G240" s="25">
        <f t="shared" ref="G240:H240" si="36">59+56.3</f>
        <v>115.3</v>
      </c>
      <c r="H240" s="25">
        <f t="shared" si="36"/>
        <v>115.3</v>
      </c>
    </row>
    <row r="241" spans="1:8" s="7" customFormat="1" ht="25.5" x14ac:dyDescent="0.2">
      <c r="A241" s="5" t="s">
        <v>178</v>
      </c>
      <c r="B241" s="8" t="s">
        <v>33</v>
      </c>
      <c r="C241" s="8" t="s">
        <v>30</v>
      </c>
      <c r="D241" s="8" t="s">
        <v>177</v>
      </c>
      <c r="E241" s="1"/>
      <c r="F241" s="2">
        <f>F242</f>
        <v>13</v>
      </c>
      <c r="G241" s="2">
        <f>G242</f>
        <v>13</v>
      </c>
      <c r="H241" s="2">
        <f>H242</f>
        <v>13</v>
      </c>
    </row>
    <row r="242" spans="1:8" s="26" customFormat="1" ht="25.5" x14ac:dyDescent="0.2">
      <c r="A242" s="27" t="s">
        <v>215</v>
      </c>
      <c r="B242" s="23" t="s">
        <v>33</v>
      </c>
      <c r="C242" s="23" t="s">
        <v>30</v>
      </c>
      <c r="D242" s="23" t="s">
        <v>177</v>
      </c>
      <c r="E242" s="23" t="s">
        <v>8</v>
      </c>
      <c r="F242" s="25">
        <v>13</v>
      </c>
      <c r="G242" s="25">
        <v>13</v>
      </c>
      <c r="H242" s="25">
        <v>13</v>
      </c>
    </row>
    <row r="243" spans="1:8" ht="25.5" x14ac:dyDescent="0.2">
      <c r="A243" s="10" t="s">
        <v>243</v>
      </c>
      <c r="B243" s="8" t="s">
        <v>33</v>
      </c>
      <c r="C243" s="8" t="s">
        <v>30</v>
      </c>
      <c r="D243" s="8" t="s">
        <v>127</v>
      </c>
      <c r="E243" s="8"/>
      <c r="F243" s="9">
        <f>F244</f>
        <v>58.4</v>
      </c>
      <c r="G243" s="9">
        <f>G244</f>
        <v>58.4</v>
      </c>
      <c r="H243" s="9">
        <f>H244</f>
        <v>58.4</v>
      </c>
    </row>
    <row r="244" spans="1:8" ht="25.5" x14ac:dyDescent="0.2">
      <c r="A244" s="27" t="s">
        <v>215</v>
      </c>
      <c r="B244" s="23" t="s">
        <v>33</v>
      </c>
      <c r="C244" s="23" t="s">
        <v>30</v>
      </c>
      <c r="D244" s="23" t="s">
        <v>127</v>
      </c>
      <c r="E244" s="23" t="s">
        <v>8</v>
      </c>
      <c r="F244" s="25">
        <f>58.4</f>
        <v>58.4</v>
      </c>
      <c r="G244" s="25">
        <v>58.4</v>
      </c>
      <c r="H244" s="25">
        <v>58.4</v>
      </c>
    </row>
    <row r="245" spans="1:8" ht="52.5" customHeight="1" x14ac:dyDescent="0.2">
      <c r="A245" s="10" t="s">
        <v>349</v>
      </c>
      <c r="B245" s="8" t="s">
        <v>33</v>
      </c>
      <c r="C245" s="8" t="s">
        <v>30</v>
      </c>
      <c r="D245" s="8" t="s">
        <v>238</v>
      </c>
      <c r="E245" s="8"/>
      <c r="F245" s="9">
        <f>F247+F246</f>
        <v>164546.20000000001</v>
      </c>
      <c r="G245" s="9">
        <f>G247+G246</f>
        <v>148403.10000000003</v>
      </c>
      <c r="H245" s="9">
        <f>H247+H246</f>
        <v>148476.40000000002</v>
      </c>
    </row>
    <row r="246" spans="1:8" s="26" customFormat="1" x14ac:dyDescent="0.2">
      <c r="A246" s="27" t="s">
        <v>13</v>
      </c>
      <c r="B246" s="23" t="s">
        <v>33</v>
      </c>
      <c r="C246" s="23" t="s">
        <v>30</v>
      </c>
      <c r="D246" s="23" t="s">
        <v>238</v>
      </c>
      <c r="E246" s="24" t="s">
        <v>14</v>
      </c>
      <c r="F246" s="25">
        <v>30</v>
      </c>
      <c r="G246" s="25">
        <v>30</v>
      </c>
      <c r="H246" s="25">
        <v>30</v>
      </c>
    </row>
    <row r="247" spans="1:8" ht="25.5" x14ac:dyDescent="0.2">
      <c r="A247" s="27" t="s">
        <v>215</v>
      </c>
      <c r="B247" s="23" t="s">
        <v>33</v>
      </c>
      <c r="C247" s="23" t="s">
        <v>30</v>
      </c>
      <c r="D247" s="23" t="s">
        <v>238</v>
      </c>
      <c r="E247" s="23" t="s">
        <v>8</v>
      </c>
      <c r="F247" s="25">
        <f>118343.6+24006+387.1+3597.5+1967.7+2.2-13.2+120+80.2-56.4+50-19.4-50-16.6+30.4+355+53+10+1+6.5+3101.8-8.7+8474-47-44.5+4.5+154.9-278.7+481.5-18.6+26.2+3578.6+237.6</f>
        <v>164516.20000000001</v>
      </c>
      <c r="G247" s="25">
        <f>118343.6+24006+387.1+3668.7+1967.7</f>
        <v>148373.10000000003</v>
      </c>
      <c r="H247" s="25">
        <f>118343.6+24006+387.1+3742+1967.7</f>
        <v>148446.40000000002</v>
      </c>
    </row>
    <row r="248" spans="1:8" ht="25.5" x14ac:dyDescent="0.2">
      <c r="A248" s="10" t="s">
        <v>350</v>
      </c>
      <c r="B248" s="8" t="s">
        <v>33</v>
      </c>
      <c r="C248" s="8" t="s">
        <v>30</v>
      </c>
      <c r="D248" s="8" t="s">
        <v>246</v>
      </c>
      <c r="E248" s="8"/>
      <c r="F248" s="9">
        <f>F249</f>
        <v>67</v>
      </c>
      <c r="G248" s="9">
        <f>G249</f>
        <v>67</v>
      </c>
      <c r="H248" s="9">
        <f>H249</f>
        <v>67</v>
      </c>
    </row>
    <row r="249" spans="1:8" ht="25.5" x14ac:dyDescent="0.2">
      <c r="A249" s="27" t="s">
        <v>215</v>
      </c>
      <c r="B249" s="23" t="s">
        <v>33</v>
      </c>
      <c r="C249" s="23" t="s">
        <v>30</v>
      </c>
      <c r="D249" s="23" t="s">
        <v>246</v>
      </c>
      <c r="E249" s="23" t="s">
        <v>8</v>
      </c>
      <c r="F249" s="25">
        <v>67</v>
      </c>
      <c r="G249" s="25">
        <v>67</v>
      </c>
      <c r="H249" s="25">
        <v>67</v>
      </c>
    </row>
    <row r="250" spans="1:8" ht="25.5" x14ac:dyDescent="0.2">
      <c r="A250" s="10" t="s">
        <v>351</v>
      </c>
      <c r="B250" s="8" t="s">
        <v>33</v>
      </c>
      <c r="C250" s="8" t="s">
        <v>30</v>
      </c>
      <c r="D250" s="8" t="s">
        <v>248</v>
      </c>
      <c r="E250" s="8"/>
      <c r="F250" s="9">
        <f>F251</f>
        <v>20373.399999999998</v>
      </c>
      <c r="G250" s="9">
        <f>G251</f>
        <v>17149.699999999997</v>
      </c>
      <c r="H250" s="9">
        <f>H251</f>
        <v>17149.699999999997</v>
      </c>
    </row>
    <row r="251" spans="1:8" ht="25.5" x14ac:dyDescent="0.2">
      <c r="A251" s="27" t="s">
        <v>215</v>
      </c>
      <c r="B251" s="23" t="s">
        <v>33</v>
      </c>
      <c r="C251" s="23" t="s">
        <v>30</v>
      </c>
      <c r="D251" s="23" t="s">
        <v>248</v>
      </c>
      <c r="E251" s="23" t="s">
        <v>8</v>
      </c>
      <c r="F251" s="25">
        <f>11274.5+3405.6+427.3+55.9+11.9+5+1969.5+98+15+33.7+2690.7+386.3</f>
        <v>20373.399999999998</v>
      </c>
      <c r="G251" s="25">
        <f>11274.5+3405.6+427.3+55.9+11.9+5+1969.5</f>
        <v>17149.699999999997</v>
      </c>
      <c r="H251" s="25">
        <f>11274.5+3405.6+427.3+55.9+11.9+5+1969.5</f>
        <v>17149.699999999997</v>
      </c>
    </row>
    <row r="252" spans="1:8" x14ac:dyDescent="0.2">
      <c r="A252" s="14" t="s">
        <v>52</v>
      </c>
      <c r="B252" s="11" t="s">
        <v>33</v>
      </c>
      <c r="C252" s="11" t="s">
        <v>33</v>
      </c>
      <c r="D252" s="11"/>
      <c r="E252" s="11"/>
      <c r="F252" s="12">
        <f>F255+F253</f>
        <v>341.7</v>
      </c>
      <c r="G252" s="12">
        <f t="shared" ref="G252:H252" si="37">G255+G253</f>
        <v>341.7</v>
      </c>
      <c r="H252" s="12">
        <f t="shared" si="37"/>
        <v>341.7</v>
      </c>
    </row>
    <row r="253" spans="1:8" x14ac:dyDescent="0.2">
      <c r="A253" s="10" t="s">
        <v>251</v>
      </c>
      <c r="B253" s="8" t="s">
        <v>33</v>
      </c>
      <c r="C253" s="8" t="s">
        <v>33</v>
      </c>
      <c r="D253" s="8" t="s">
        <v>131</v>
      </c>
      <c r="E253" s="8"/>
      <c r="F253" s="9">
        <f t="shared" ref="F253:H253" si="38">F254</f>
        <v>193</v>
      </c>
      <c r="G253" s="9">
        <f t="shared" si="38"/>
        <v>193</v>
      </c>
      <c r="H253" s="9">
        <f t="shared" si="38"/>
        <v>193</v>
      </c>
    </row>
    <row r="254" spans="1:8" ht="51" x14ac:dyDescent="0.2">
      <c r="A254" s="46" t="s">
        <v>9</v>
      </c>
      <c r="B254" s="23" t="s">
        <v>33</v>
      </c>
      <c r="C254" s="23" t="s">
        <v>33</v>
      </c>
      <c r="D254" s="23" t="s">
        <v>131</v>
      </c>
      <c r="E254" s="24" t="s">
        <v>10</v>
      </c>
      <c r="F254" s="25">
        <f>195.4-2.4</f>
        <v>193</v>
      </c>
      <c r="G254" s="25">
        <v>193</v>
      </c>
      <c r="H254" s="25">
        <v>193</v>
      </c>
    </row>
    <row r="255" spans="1:8" ht="25.5" x14ac:dyDescent="0.2">
      <c r="A255" s="10" t="s">
        <v>253</v>
      </c>
      <c r="B255" s="8" t="s">
        <v>33</v>
      </c>
      <c r="C255" s="8" t="s">
        <v>33</v>
      </c>
      <c r="D255" s="8" t="s">
        <v>252</v>
      </c>
      <c r="E255" s="8"/>
      <c r="F255" s="9">
        <f>F256+F257</f>
        <v>148.69999999999999</v>
      </c>
      <c r="G255" s="9">
        <f t="shared" ref="G255:H255" si="39">G256+G257</f>
        <v>148.69999999999999</v>
      </c>
      <c r="H255" s="9">
        <f t="shared" si="39"/>
        <v>148.69999999999999</v>
      </c>
    </row>
    <row r="256" spans="1:8" ht="25.5" x14ac:dyDescent="0.2">
      <c r="A256" s="27" t="s">
        <v>20</v>
      </c>
      <c r="B256" s="23" t="s">
        <v>33</v>
      </c>
      <c r="C256" s="23" t="s">
        <v>33</v>
      </c>
      <c r="D256" s="23" t="s">
        <v>252</v>
      </c>
      <c r="E256" s="24" t="s">
        <v>12</v>
      </c>
      <c r="F256" s="25">
        <f>20+45+24+23+25.2</f>
        <v>137.19999999999999</v>
      </c>
      <c r="G256" s="25">
        <f>20+45+24+23</f>
        <v>112</v>
      </c>
      <c r="H256" s="25">
        <f>20+45+24+23</f>
        <v>112</v>
      </c>
    </row>
    <row r="257" spans="1:8" x14ac:dyDescent="0.2">
      <c r="A257" s="27" t="s">
        <v>13</v>
      </c>
      <c r="B257" s="23" t="s">
        <v>33</v>
      </c>
      <c r="C257" s="23" t="s">
        <v>33</v>
      </c>
      <c r="D257" s="23" t="s">
        <v>252</v>
      </c>
      <c r="E257" s="24" t="s">
        <v>14</v>
      </c>
      <c r="F257" s="25">
        <f>36.7-25.2</f>
        <v>11.500000000000004</v>
      </c>
      <c r="G257" s="25">
        <v>36.700000000000003</v>
      </c>
      <c r="H257" s="25">
        <v>36.700000000000003</v>
      </c>
    </row>
    <row r="258" spans="1:8" x14ac:dyDescent="0.2">
      <c r="A258" s="14" t="s">
        <v>53</v>
      </c>
      <c r="B258" s="11" t="s">
        <v>33</v>
      </c>
      <c r="C258" s="11" t="s">
        <v>39</v>
      </c>
      <c r="D258" s="11"/>
      <c r="E258" s="11"/>
      <c r="F258" s="12">
        <f>F264+F267+F269+F272+F276+F278+F281+F285+F288+F290+F259+F261</f>
        <v>87166.400000000009</v>
      </c>
      <c r="G258" s="12">
        <f t="shared" ref="G258:H258" si="40">G264+G267+G269+G272+G276+G278+G281+G285+G288+G290+G259+G261</f>
        <v>72494.3</v>
      </c>
      <c r="H258" s="12">
        <f t="shared" si="40"/>
        <v>72494.3</v>
      </c>
    </row>
    <row r="259" spans="1:8" x14ac:dyDescent="0.2">
      <c r="A259" s="10" t="s">
        <v>205</v>
      </c>
      <c r="B259" s="8" t="s">
        <v>33</v>
      </c>
      <c r="C259" s="8" t="s">
        <v>39</v>
      </c>
      <c r="D259" s="23" t="s">
        <v>204</v>
      </c>
      <c r="E259" s="8"/>
      <c r="F259" s="9">
        <f>F260</f>
        <v>1660.3000000000002</v>
      </c>
      <c r="G259" s="9">
        <f>G260</f>
        <v>0</v>
      </c>
      <c r="H259" s="9">
        <f>H260</f>
        <v>0</v>
      </c>
    </row>
    <row r="260" spans="1:8" ht="25.5" x14ac:dyDescent="0.2">
      <c r="A260" s="27" t="s">
        <v>74</v>
      </c>
      <c r="B260" s="8" t="s">
        <v>33</v>
      </c>
      <c r="C260" s="8" t="s">
        <v>39</v>
      </c>
      <c r="D260" s="23" t="s">
        <v>204</v>
      </c>
      <c r="E260" s="23" t="s">
        <v>15</v>
      </c>
      <c r="F260" s="25">
        <f>2457.8-2457.8+2457.8-797.5</f>
        <v>1660.3000000000002</v>
      </c>
      <c r="G260" s="25"/>
      <c r="H260" s="25"/>
    </row>
    <row r="261" spans="1:8" ht="25.5" x14ac:dyDescent="0.2">
      <c r="A261" s="10" t="s">
        <v>243</v>
      </c>
      <c r="B261" s="8" t="s">
        <v>33</v>
      </c>
      <c r="C261" s="8" t="s">
        <v>39</v>
      </c>
      <c r="D261" s="8" t="s">
        <v>127</v>
      </c>
      <c r="E261" s="8"/>
      <c r="F261" s="9">
        <f>F263+F262</f>
        <v>3963.6</v>
      </c>
      <c r="G261" s="9">
        <f t="shared" ref="G261:H261" si="41">G263+G262</f>
        <v>3814.6</v>
      </c>
      <c r="H261" s="9">
        <f t="shared" si="41"/>
        <v>3814.6</v>
      </c>
    </row>
    <row r="262" spans="1:8" ht="25.5" x14ac:dyDescent="0.2">
      <c r="A262" s="27" t="s">
        <v>20</v>
      </c>
      <c r="B262" s="23" t="s">
        <v>33</v>
      </c>
      <c r="C262" s="23" t="s">
        <v>39</v>
      </c>
      <c r="D262" s="23" t="s">
        <v>127</v>
      </c>
      <c r="E262" s="23" t="s">
        <v>12</v>
      </c>
      <c r="F262" s="25">
        <f>87+3</f>
        <v>90</v>
      </c>
      <c r="G262" s="25">
        <v>87</v>
      </c>
      <c r="H262" s="25">
        <v>87</v>
      </c>
    </row>
    <row r="263" spans="1:8" ht="25.5" x14ac:dyDescent="0.2">
      <c r="A263" s="27" t="s">
        <v>215</v>
      </c>
      <c r="B263" s="23" t="s">
        <v>33</v>
      </c>
      <c r="C263" s="23" t="s">
        <v>39</v>
      </c>
      <c r="D263" s="23" t="s">
        <v>127</v>
      </c>
      <c r="E263" s="23" t="s">
        <v>8</v>
      </c>
      <c r="F263" s="25">
        <f>3412.6+315+149-3</f>
        <v>3873.6</v>
      </c>
      <c r="G263" s="25">
        <f>3412.6+315</f>
        <v>3727.6</v>
      </c>
      <c r="H263" s="25">
        <f>3412.6+315</f>
        <v>3727.6</v>
      </c>
    </row>
    <row r="264" spans="1:8" ht="25.5" x14ac:dyDescent="0.2">
      <c r="A264" s="10" t="s">
        <v>254</v>
      </c>
      <c r="B264" s="1" t="s">
        <v>33</v>
      </c>
      <c r="C264" s="1" t="s">
        <v>39</v>
      </c>
      <c r="D264" s="1" t="s">
        <v>114</v>
      </c>
      <c r="E264" s="8"/>
      <c r="F264" s="9">
        <f>F265+F266</f>
        <v>2604.6</v>
      </c>
      <c r="G264" s="9">
        <f>G265+G266</f>
        <v>2354.3000000000002</v>
      </c>
      <c r="H264" s="9">
        <f>H265+H266</f>
        <v>2354.3000000000002</v>
      </c>
    </row>
    <row r="265" spans="1:8" ht="51" x14ac:dyDescent="0.2">
      <c r="A265" s="46" t="s">
        <v>9</v>
      </c>
      <c r="B265" s="23" t="s">
        <v>33</v>
      </c>
      <c r="C265" s="23" t="s">
        <v>39</v>
      </c>
      <c r="D265" s="23" t="s">
        <v>114</v>
      </c>
      <c r="E265" s="24" t="s">
        <v>10</v>
      </c>
      <c r="F265" s="25">
        <f>1464.5+442.3+2+19+76.3+250.3</f>
        <v>2254.4</v>
      </c>
      <c r="G265" s="25">
        <f>1464.5+442.3+2+19</f>
        <v>1927.8</v>
      </c>
      <c r="H265" s="25">
        <f>1464.5+442.3+2+19</f>
        <v>1927.8</v>
      </c>
    </row>
    <row r="266" spans="1:8" ht="25.5" x14ac:dyDescent="0.2">
      <c r="A266" s="27" t="s">
        <v>20</v>
      </c>
      <c r="B266" s="23" t="s">
        <v>33</v>
      </c>
      <c r="C266" s="23" t="s">
        <v>39</v>
      </c>
      <c r="D266" s="23" t="s">
        <v>114</v>
      </c>
      <c r="E266" s="24" t="s">
        <v>12</v>
      </c>
      <c r="F266" s="25">
        <f>10+150+100+166.5-76.3</f>
        <v>350.2</v>
      </c>
      <c r="G266" s="25">
        <f>10+150+100+166.5</f>
        <v>426.5</v>
      </c>
      <c r="H266" s="25">
        <f>10+150+100+166.5</f>
        <v>426.5</v>
      </c>
    </row>
    <row r="267" spans="1:8" ht="51" x14ac:dyDescent="0.2">
      <c r="A267" s="10" t="s">
        <v>244</v>
      </c>
      <c r="B267" s="8" t="s">
        <v>33</v>
      </c>
      <c r="C267" s="8" t="s">
        <v>39</v>
      </c>
      <c r="D267" s="8" t="s">
        <v>255</v>
      </c>
      <c r="E267" s="8"/>
      <c r="F267" s="9">
        <f>F268</f>
        <v>2950.8999999999996</v>
      </c>
      <c r="G267" s="9">
        <f>G268</f>
        <v>4150.8999999999996</v>
      </c>
      <c r="H267" s="9">
        <f>H268</f>
        <v>4150.8999999999996</v>
      </c>
    </row>
    <row r="268" spans="1:8" ht="25.5" x14ac:dyDescent="0.2">
      <c r="A268" s="27" t="s">
        <v>215</v>
      </c>
      <c r="B268" s="23" t="s">
        <v>33</v>
      </c>
      <c r="C268" s="23" t="s">
        <v>39</v>
      </c>
      <c r="D268" s="23" t="s">
        <v>255</v>
      </c>
      <c r="E268" s="23" t="s">
        <v>8</v>
      </c>
      <c r="F268" s="25">
        <f>4150.9-1200</f>
        <v>2950.8999999999996</v>
      </c>
      <c r="G268" s="25">
        <v>4150.8999999999996</v>
      </c>
      <c r="H268" s="25">
        <v>4150.8999999999996</v>
      </c>
    </row>
    <row r="269" spans="1:8" ht="25.5" x14ac:dyDescent="0.2">
      <c r="A269" s="10" t="s">
        <v>350</v>
      </c>
      <c r="B269" s="8" t="s">
        <v>33</v>
      </c>
      <c r="C269" s="8" t="s">
        <v>39</v>
      </c>
      <c r="D269" s="8" t="s">
        <v>256</v>
      </c>
      <c r="E269" s="8"/>
      <c r="F269" s="9">
        <f>F270+F271</f>
        <v>60</v>
      </c>
      <c r="G269" s="9">
        <f>G270+G271</f>
        <v>171.1</v>
      </c>
      <c r="H269" s="9">
        <f>H270+H271</f>
        <v>171.1</v>
      </c>
    </row>
    <row r="270" spans="1:8" ht="25.5" x14ac:dyDescent="0.2">
      <c r="A270" s="27" t="s">
        <v>20</v>
      </c>
      <c r="B270" s="23" t="s">
        <v>33</v>
      </c>
      <c r="C270" s="23" t="s">
        <v>39</v>
      </c>
      <c r="D270" s="23" t="s">
        <v>256</v>
      </c>
      <c r="E270" s="23" t="s">
        <v>12</v>
      </c>
      <c r="F270" s="25">
        <f>41-41</f>
        <v>0</v>
      </c>
      <c r="G270" s="25">
        <v>41</v>
      </c>
      <c r="H270" s="25">
        <v>41</v>
      </c>
    </row>
    <row r="271" spans="1:8" s="26" customFormat="1" ht="25.5" x14ac:dyDescent="0.2">
      <c r="A271" s="27" t="s">
        <v>215</v>
      </c>
      <c r="B271" s="23" t="s">
        <v>33</v>
      </c>
      <c r="C271" s="23" t="s">
        <v>39</v>
      </c>
      <c r="D271" s="23" t="s">
        <v>256</v>
      </c>
      <c r="E271" s="23" t="s">
        <v>8</v>
      </c>
      <c r="F271" s="25">
        <f>130.1-70.1</f>
        <v>60</v>
      </c>
      <c r="G271" s="25">
        <v>130.1</v>
      </c>
      <c r="H271" s="25">
        <v>130.1</v>
      </c>
    </row>
    <row r="272" spans="1:8" ht="25.5" x14ac:dyDescent="0.2">
      <c r="A272" s="10" t="s">
        <v>350</v>
      </c>
      <c r="B272" s="8" t="s">
        <v>33</v>
      </c>
      <c r="C272" s="8" t="s">
        <v>39</v>
      </c>
      <c r="D272" s="8" t="s">
        <v>246</v>
      </c>
      <c r="E272" s="8"/>
      <c r="F272" s="9">
        <f>F275+F274+F273</f>
        <v>261.59999999999997</v>
      </c>
      <c r="G272" s="9">
        <f t="shared" ref="G272:H272" si="42">G275+G274+G273</f>
        <v>319.7</v>
      </c>
      <c r="H272" s="9">
        <f t="shared" si="42"/>
        <v>319.7</v>
      </c>
    </row>
    <row r="273" spans="1:8" ht="25.5" x14ac:dyDescent="0.2">
      <c r="A273" s="27" t="s">
        <v>20</v>
      </c>
      <c r="B273" s="23" t="s">
        <v>33</v>
      </c>
      <c r="C273" s="23" t="s">
        <v>39</v>
      </c>
      <c r="D273" s="23" t="s">
        <v>246</v>
      </c>
      <c r="E273" s="23" t="s">
        <v>12</v>
      </c>
      <c r="F273" s="25">
        <v>4</v>
      </c>
      <c r="G273" s="25">
        <v>4</v>
      </c>
      <c r="H273" s="25">
        <v>4</v>
      </c>
    </row>
    <row r="274" spans="1:8" x14ac:dyDescent="0.2">
      <c r="A274" s="27" t="s">
        <v>13</v>
      </c>
      <c r="B274" s="23" t="s">
        <v>33</v>
      </c>
      <c r="C274" s="23" t="s">
        <v>39</v>
      </c>
      <c r="D274" s="23" t="s">
        <v>246</v>
      </c>
      <c r="E274" s="23" t="s">
        <v>14</v>
      </c>
      <c r="F274" s="25">
        <f>1177.8-1177.8</f>
        <v>0</v>
      </c>
      <c r="G274" s="25">
        <v>0</v>
      </c>
      <c r="H274" s="25">
        <v>0</v>
      </c>
    </row>
    <row r="275" spans="1:8" ht="25.5" x14ac:dyDescent="0.2">
      <c r="A275" s="27" t="s">
        <v>215</v>
      </c>
      <c r="B275" s="23" t="s">
        <v>33</v>
      </c>
      <c r="C275" s="23" t="s">
        <v>39</v>
      </c>
      <c r="D275" s="23" t="s">
        <v>246</v>
      </c>
      <c r="E275" s="23" t="s">
        <v>8</v>
      </c>
      <c r="F275" s="25">
        <f>315.7-58.1</f>
        <v>257.59999999999997</v>
      </c>
      <c r="G275" s="25">
        <v>315.7</v>
      </c>
      <c r="H275" s="25">
        <v>315.7</v>
      </c>
    </row>
    <row r="276" spans="1:8" ht="25.5" x14ac:dyDescent="0.2">
      <c r="A276" s="10" t="s">
        <v>351</v>
      </c>
      <c r="B276" s="8" t="s">
        <v>33</v>
      </c>
      <c r="C276" s="8" t="s">
        <v>39</v>
      </c>
      <c r="D276" s="8" t="s">
        <v>326</v>
      </c>
      <c r="E276" s="8"/>
      <c r="F276" s="9">
        <f>F277</f>
        <v>3430.1000000000004</v>
      </c>
      <c r="G276" s="9">
        <f>G277</f>
        <v>2701.1</v>
      </c>
      <c r="H276" s="9">
        <f>H277</f>
        <v>2701.1</v>
      </c>
    </row>
    <row r="277" spans="1:8" ht="25.5" x14ac:dyDescent="0.2">
      <c r="A277" s="27" t="s">
        <v>215</v>
      </c>
      <c r="B277" s="23" t="s">
        <v>33</v>
      </c>
      <c r="C277" s="23" t="s">
        <v>39</v>
      </c>
      <c r="D277" s="23" t="s">
        <v>326</v>
      </c>
      <c r="E277" s="24" t="s">
        <v>8</v>
      </c>
      <c r="F277" s="25">
        <f>2675.9+25.2+722.7+6.3</f>
        <v>3430.1000000000004</v>
      </c>
      <c r="G277" s="25">
        <f>2675.9+25.2</f>
        <v>2701.1</v>
      </c>
      <c r="H277" s="25">
        <f>2675.9+25.2</f>
        <v>2701.1</v>
      </c>
    </row>
    <row r="278" spans="1:8" ht="38.25" x14ac:dyDescent="0.2">
      <c r="A278" s="10" t="s">
        <v>352</v>
      </c>
      <c r="B278" s="8" t="s">
        <v>33</v>
      </c>
      <c r="C278" s="8" t="s">
        <v>39</v>
      </c>
      <c r="D278" s="8" t="s">
        <v>257</v>
      </c>
      <c r="E278" s="8"/>
      <c r="F278" s="9">
        <f>F279+F280</f>
        <v>714</v>
      </c>
      <c r="G278" s="9">
        <f>G279+G280</f>
        <v>491.4</v>
      </c>
      <c r="H278" s="9">
        <f>H279+H280</f>
        <v>491.4</v>
      </c>
    </row>
    <row r="279" spans="1:8" ht="51" x14ac:dyDescent="0.2">
      <c r="A279" s="22" t="s">
        <v>9</v>
      </c>
      <c r="B279" s="23" t="s">
        <v>33</v>
      </c>
      <c r="C279" s="23" t="s">
        <v>39</v>
      </c>
      <c r="D279" s="23" t="s">
        <v>257</v>
      </c>
      <c r="E279" s="24" t="s">
        <v>10</v>
      </c>
      <c r="F279" s="25">
        <f>36.9+17.5</f>
        <v>54.4</v>
      </c>
      <c r="G279" s="25">
        <v>36.9</v>
      </c>
      <c r="H279" s="25">
        <v>36.9</v>
      </c>
    </row>
    <row r="280" spans="1:8" ht="25.5" x14ac:dyDescent="0.2">
      <c r="A280" s="27" t="s">
        <v>215</v>
      </c>
      <c r="B280" s="23" t="s">
        <v>33</v>
      </c>
      <c r="C280" s="23" t="s">
        <v>39</v>
      </c>
      <c r="D280" s="23" t="s">
        <v>257</v>
      </c>
      <c r="E280" s="23" t="s">
        <v>8</v>
      </c>
      <c r="F280" s="25">
        <f>454.5+205.1</f>
        <v>659.6</v>
      </c>
      <c r="G280" s="25">
        <v>454.5</v>
      </c>
      <c r="H280" s="25">
        <v>454.5</v>
      </c>
    </row>
    <row r="281" spans="1:8" ht="25.5" x14ac:dyDescent="0.2">
      <c r="A281" s="10" t="s">
        <v>259</v>
      </c>
      <c r="B281" s="8" t="s">
        <v>33</v>
      </c>
      <c r="C281" s="8" t="s">
        <v>39</v>
      </c>
      <c r="D281" s="8" t="s">
        <v>258</v>
      </c>
      <c r="E281" s="8"/>
      <c r="F281" s="9">
        <f>F284+F283+F282</f>
        <v>378.8</v>
      </c>
      <c r="G281" s="9">
        <f t="shared" ref="G281:H281" si="43">G284+G283+G282</f>
        <v>430.5</v>
      </c>
      <c r="H281" s="9">
        <f t="shared" si="43"/>
        <v>430.5</v>
      </c>
    </row>
    <row r="282" spans="1:8" s="26" customFormat="1" ht="51" x14ac:dyDescent="0.2">
      <c r="A282" s="22" t="s">
        <v>9</v>
      </c>
      <c r="B282" s="23" t="s">
        <v>33</v>
      </c>
      <c r="C282" s="23" t="s">
        <v>39</v>
      </c>
      <c r="D282" s="23" t="s">
        <v>258</v>
      </c>
      <c r="E282" s="23" t="s">
        <v>10</v>
      </c>
      <c r="F282" s="25">
        <f>7.6+2.4</f>
        <v>10</v>
      </c>
      <c r="G282" s="25">
        <v>0</v>
      </c>
      <c r="H282" s="25">
        <v>0</v>
      </c>
    </row>
    <row r="283" spans="1:8" s="26" customFormat="1" ht="25.5" x14ac:dyDescent="0.2">
      <c r="A283" s="27" t="s">
        <v>20</v>
      </c>
      <c r="B283" s="23" t="s">
        <v>33</v>
      </c>
      <c r="C283" s="23" t="s">
        <v>39</v>
      </c>
      <c r="D283" s="23" t="s">
        <v>258</v>
      </c>
      <c r="E283" s="23" t="s">
        <v>12</v>
      </c>
      <c r="F283" s="25">
        <f>48.9+21.3-2.2</f>
        <v>68</v>
      </c>
      <c r="G283" s="25">
        <v>0</v>
      </c>
      <c r="H283" s="25">
        <v>0</v>
      </c>
    </row>
    <row r="284" spans="1:8" ht="25.5" x14ac:dyDescent="0.2">
      <c r="A284" s="27" t="s">
        <v>215</v>
      </c>
      <c r="B284" s="23" t="s">
        <v>33</v>
      </c>
      <c r="C284" s="23" t="s">
        <v>39</v>
      </c>
      <c r="D284" s="23" t="s">
        <v>258</v>
      </c>
      <c r="E284" s="23" t="s">
        <v>8</v>
      </c>
      <c r="F284" s="25">
        <f>430.5-48.9-7.6-13.2-2.4+0.2+2.2-60</f>
        <v>300.8</v>
      </c>
      <c r="G284" s="25">
        <v>430.5</v>
      </c>
      <c r="H284" s="25">
        <v>430.5</v>
      </c>
    </row>
    <row r="285" spans="1:8" ht="25.5" x14ac:dyDescent="0.2">
      <c r="A285" s="10" t="s">
        <v>354</v>
      </c>
      <c r="B285" s="8" t="s">
        <v>33</v>
      </c>
      <c r="C285" s="8" t="s">
        <v>39</v>
      </c>
      <c r="D285" s="8" t="s">
        <v>260</v>
      </c>
      <c r="E285" s="8"/>
      <c r="F285" s="9">
        <f>F286+F287</f>
        <v>3982.9</v>
      </c>
      <c r="G285" s="9">
        <f>G286+G287</f>
        <v>3563.4</v>
      </c>
      <c r="H285" s="9">
        <f>H286+H287</f>
        <v>3563.4</v>
      </c>
    </row>
    <row r="286" spans="1:8" ht="51" x14ac:dyDescent="0.2">
      <c r="A286" s="22" t="s">
        <v>9</v>
      </c>
      <c r="B286" s="23" t="s">
        <v>33</v>
      </c>
      <c r="C286" s="23" t="s">
        <v>39</v>
      </c>
      <c r="D286" s="23" t="s">
        <v>260</v>
      </c>
      <c r="E286" s="24" t="s">
        <v>10</v>
      </c>
      <c r="F286" s="25">
        <f>3479.7+33.3+25+437.9</f>
        <v>3975.9</v>
      </c>
      <c r="G286" s="25">
        <f>3479.7+33.3</f>
        <v>3513</v>
      </c>
      <c r="H286" s="25">
        <f>3479.7+33.3</f>
        <v>3513</v>
      </c>
    </row>
    <row r="287" spans="1:8" ht="25.5" x14ac:dyDescent="0.2">
      <c r="A287" s="27" t="s">
        <v>20</v>
      </c>
      <c r="B287" s="23" t="s">
        <v>33</v>
      </c>
      <c r="C287" s="23" t="s">
        <v>39</v>
      </c>
      <c r="D287" s="23" t="s">
        <v>260</v>
      </c>
      <c r="E287" s="24" t="s">
        <v>12</v>
      </c>
      <c r="F287" s="25">
        <f>50.4-25-18.4</f>
        <v>7</v>
      </c>
      <c r="G287" s="25">
        <v>50.4</v>
      </c>
      <c r="H287" s="25">
        <v>50.4</v>
      </c>
    </row>
    <row r="288" spans="1:8" ht="25.5" x14ac:dyDescent="0.2">
      <c r="A288" s="10" t="s">
        <v>354</v>
      </c>
      <c r="B288" s="8" t="s">
        <v>33</v>
      </c>
      <c r="C288" s="8" t="s">
        <v>39</v>
      </c>
      <c r="D288" s="8" t="s">
        <v>261</v>
      </c>
      <c r="E288" s="8"/>
      <c r="F288" s="9">
        <f>F289</f>
        <v>22429.100000000002</v>
      </c>
      <c r="G288" s="9">
        <f>G289</f>
        <v>16913.600000000002</v>
      </c>
      <c r="H288" s="9">
        <f>H289</f>
        <v>16913.600000000002</v>
      </c>
    </row>
    <row r="289" spans="1:8" ht="25.5" x14ac:dyDescent="0.2">
      <c r="A289" s="27" t="s">
        <v>215</v>
      </c>
      <c r="B289" s="23" t="s">
        <v>33</v>
      </c>
      <c r="C289" s="23" t="s">
        <v>39</v>
      </c>
      <c r="D289" s="23" t="s">
        <v>261</v>
      </c>
      <c r="E289" s="23" t="s">
        <v>8</v>
      </c>
      <c r="F289" s="25">
        <f>16766.2+147.4-6.4+60-30+68.2+4727.2+50+62.8+122.7+461</f>
        <v>22429.100000000002</v>
      </c>
      <c r="G289" s="25">
        <f t="shared" ref="G289:H289" si="44">16766.2+147.4</f>
        <v>16913.600000000002</v>
      </c>
      <c r="H289" s="25">
        <f t="shared" si="44"/>
        <v>16913.600000000002</v>
      </c>
    </row>
    <row r="290" spans="1:8" ht="25.5" x14ac:dyDescent="0.2">
      <c r="A290" s="10" t="s">
        <v>354</v>
      </c>
      <c r="B290" s="8" t="s">
        <v>33</v>
      </c>
      <c r="C290" s="8" t="s">
        <v>39</v>
      </c>
      <c r="D290" s="8" t="s">
        <v>262</v>
      </c>
      <c r="E290" s="8"/>
      <c r="F290" s="9">
        <f>F291+F292+F293+F294</f>
        <v>44730.500000000007</v>
      </c>
      <c r="G290" s="9">
        <f>G291+G292+G293+G294</f>
        <v>37583.699999999997</v>
      </c>
      <c r="H290" s="9">
        <f>H291+H292+H293+H294</f>
        <v>37583.699999999997</v>
      </c>
    </row>
    <row r="291" spans="1:8" ht="51" x14ac:dyDescent="0.2">
      <c r="A291" s="22" t="s">
        <v>9</v>
      </c>
      <c r="B291" s="23" t="s">
        <v>33</v>
      </c>
      <c r="C291" s="23" t="s">
        <v>39</v>
      </c>
      <c r="D291" s="23" t="s">
        <v>262</v>
      </c>
      <c r="E291" s="24" t="s">
        <v>10</v>
      </c>
      <c r="F291" s="25">
        <f>10646+102.3+12+6407+2970.6</f>
        <v>20137.899999999998</v>
      </c>
      <c r="G291" s="25">
        <f>10646+102.3</f>
        <v>10748.3</v>
      </c>
      <c r="H291" s="25">
        <f>10646+102.3</f>
        <v>10748.3</v>
      </c>
    </row>
    <row r="292" spans="1:8" ht="25.5" x14ac:dyDescent="0.2">
      <c r="A292" s="27" t="s">
        <v>20</v>
      </c>
      <c r="B292" s="23" t="s">
        <v>33</v>
      </c>
      <c r="C292" s="23" t="s">
        <v>39</v>
      </c>
      <c r="D292" s="23" t="s">
        <v>262</v>
      </c>
      <c r="E292" s="24" t="s">
        <v>12</v>
      </c>
      <c r="F292" s="25">
        <f>287-12-37+618.7-10-9.5+412.2+637</f>
        <v>1886.4</v>
      </c>
      <c r="G292" s="25">
        <v>287</v>
      </c>
      <c r="H292" s="25">
        <v>287</v>
      </c>
    </row>
    <row r="293" spans="1:8" ht="25.5" x14ac:dyDescent="0.2">
      <c r="A293" s="27" t="s">
        <v>215</v>
      </c>
      <c r="B293" s="23" t="s">
        <v>33</v>
      </c>
      <c r="C293" s="23" t="s">
        <v>39</v>
      </c>
      <c r="D293" s="23" t="s">
        <v>262</v>
      </c>
      <c r="E293" s="23" t="s">
        <v>8</v>
      </c>
      <c r="F293" s="25">
        <f>26235.2+213.2+1.4+357.5+10-90-7037.8+22+10-17+155+2502.4-20+50.9+233.3</f>
        <v>22626.100000000006</v>
      </c>
      <c r="G293" s="25">
        <f>26235.2+213.2</f>
        <v>26448.400000000001</v>
      </c>
      <c r="H293" s="25">
        <f>26235.2+213.2</f>
        <v>26448.400000000001</v>
      </c>
    </row>
    <row r="294" spans="1:8" x14ac:dyDescent="0.2">
      <c r="A294" s="27" t="s">
        <v>16</v>
      </c>
      <c r="B294" s="23" t="s">
        <v>33</v>
      </c>
      <c r="C294" s="23" t="s">
        <v>39</v>
      </c>
      <c r="D294" s="23" t="s">
        <v>262</v>
      </c>
      <c r="E294" s="23" t="s">
        <v>17</v>
      </c>
      <c r="F294" s="25">
        <f>100+12.1+13-45</f>
        <v>80.099999999999994</v>
      </c>
      <c r="G294" s="25">
        <v>100</v>
      </c>
      <c r="H294" s="25">
        <v>100</v>
      </c>
    </row>
    <row r="295" spans="1:8" ht="15.75" x14ac:dyDescent="0.25">
      <c r="A295" s="35" t="s">
        <v>63</v>
      </c>
      <c r="B295" s="33" t="s">
        <v>54</v>
      </c>
      <c r="C295" s="33" t="s">
        <v>26</v>
      </c>
      <c r="D295" s="33"/>
      <c r="E295" s="33"/>
      <c r="F295" s="34">
        <f>F296+F312</f>
        <v>114306.09999999999</v>
      </c>
      <c r="G295" s="34">
        <f t="shared" ref="G295:H295" si="45">G296+G312</f>
        <v>78862.7</v>
      </c>
      <c r="H295" s="34">
        <f t="shared" si="45"/>
        <v>78862.7</v>
      </c>
    </row>
    <row r="296" spans="1:8" x14ac:dyDescent="0.2">
      <c r="A296" s="14" t="s">
        <v>55</v>
      </c>
      <c r="B296" s="11" t="s">
        <v>54</v>
      </c>
      <c r="C296" s="11" t="s">
        <v>25</v>
      </c>
      <c r="D296" s="11"/>
      <c r="E296" s="11"/>
      <c r="F296" s="12">
        <f>F304+F307+F309+F297+F300+F302</f>
        <v>109891.2</v>
      </c>
      <c r="G296" s="12">
        <f t="shared" ref="G296:H296" si="46">G304+G307+G309+G297+G300+G302</f>
        <v>74908.5</v>
      </c>
      <c r="H296" s="12">
        <f t="shared" si="46"/>
        <v>74908.5</v>
      </c>
    </row>
    <row r="297" spans="1:8" x14ac:dyDescent="0.2">
      <c r="A297" s="10" t="s">
        <v>205</v>
      </c>
      <c r="B297" s="8" t="s">
        <v>54</v>
      </c>
      <c r="C297" s="8" t="s">
        <v>25</v>
      </c>
      <c r="D297" s="23" t="s">
        <v>204</v>
      </c>
      <c r="E297" s="8"/>
      <c r="F297" s="9">
        <f>F299+F298</f>
        <v>12500</v>
      </c>
      <c r="G297" s="9">
        <f>G299</f>
        <v>0</v>
      </c>
      <c r="H297" s="9">
        <f>H299</f>
        <v>0</v>
      </c>
    </row>
    <row r="298" spans="1:8" s="26" customFormat="1" ht="25.5" x14ac:dyDescent="0.2">
      <c r="A298" s="27" t="s">
        <v>20</v>
      </c>
      <c r="B298" s="23" t="s">
        <v>54</v>
      </c>
      <c r="C298" s="23" t="s">
        <v>25</v>
      </c>
      <c r="D298" s="23" t="s">
        <v>204</v>
      </c>
      <c r="E298" s="23" t="s">
        <v>12</v>
      </c>
      <c r="F298" s="25">
        <f>100+7400</f>
        <v>7500</v>
      </c>
      <c r="G298" s="25">
        <v>0</v>
      </c>
      <c r="H298" s="25">
        <v>0</v>
      </c>
    </row>
    <row r="299" spans="1:8" s="26" customFormat="1" ht="25.5" x14ac:dyDescent="0.2">
      <c r="A299" s="27" t="s">
        <v>74</v>
      </c>
      <c r="B299" s="23" t="s">
        <v>54</v>
      </c>
      <c r="C299" s="23" t="s">
        <v>25</v>
      </c>
      <c r="D299" s="23" t="s">
        <v>204</v>
      </c>
      <c r="E299" s="23" t="s">
        <v>15</v>
      </c>
      <c r="F299" s="25">
        <f>12500-100-7768.5+368.5</f>
        <v>5000</v>
      </c>
      <c r="G299" s="25">
        <v>0</v>
      </c>
      <c r="H299" s="25">
        <v>0</v>
      </c>
    </row>
    <row r="300" spans="1:8" ht="38.25" x14ac:dyDescent="0.2">
      <c r="A300" s="10" t="s">
        <v>263</v>
      </c>
      <c r="B300" s="8" t="s">
        <v>54</v>
      </c>
      <c r="C300" s="8" t="s">
        <v>25</v>
      </c>
      <c r="D300" s="8" t="s">
        <v>128</v>
      </c>
      <c r="E300" s="8"/>
      <c r="F300" s="9">
        <f>F301</f>
        <v>4564</v>
      </c>
      <c r="G300" s="9">
        <f>G301</f>
        <v>4564</v>
      </c>
      <c r="H300" s="9">
        <f>H301</f>
        <v>4564</v>
      </c>
    </row>
    <row r="301" spans="1:8" ht="25.5" x14ac:dyDescent="0.2">
      <c r="A301" s="27" t="s">
        <v>215</v>
      </c>
      <c r="B301" s="23" t="s">
        <v>54</v>
      </c>
      <c r="C301" s="23" t="s">
        <v>25</v>
      </c>
      <c r="D301" s="23" t="s">
        <v>128</v>
      </c>
      <c r="E301" s="23" t="s">
        <v>8</v>
      </c>
      <c r="F301" s="25">
        <v>4564</v>
      </c>
      <c r="G301" s="25">
        <v>4564</v>
      </c>
      <c r="H301" s="25">
        <v>4564</v>
      </c>
    </row>
    <row r="302" spans="1:8" ht="25.5" x14ac:dyDescent="0.2">
      <c r="A302" s="10" t="s">
        <v>389</v>
      </c>
      <c r="B302" s="8" t="s">
        <v>54</v>
      </c>
      <c r="C302" s="8" t="s">
        <v>25</v>
      </c>
      <c r="D302" s="8" t="s">
        <v>390</v>
      </c>
      <c r="E302" s="8"/>
      <c r="F302" s="9">
        <f>F303</f>
        <v>40</v>
      </c>
      <c r="G302" s="9">
        <f>G303</f>
        <v>0</v>
      </c>
      <c r="H302" s="9">
        <f>H303</f>
        <v>0</v>
      </c>
    </row>
    <row r="303" spans="1:8" ht="25.5" x14ac:dyDescent="0.2">
      <c r="A303" s="27" t="s">
        <v>215</v>
      </c>
      <c r="B303" s="23" t="s">
        <v>54</v>
      </c>
      <c r="C303" s="23" t="s">
        <v>25</v>
      </c>
      <c r="D303" s="23" t="s">
        <v>390</v>
      </c>
      <c r="E303" s="23" t="s">
        <v>8</v>
      </c>
      <c r="F303" s="25">
        <v>40</v>
      </c>
      <c r="G303" s="25">
        <v>0</v>
      </c>
      <c r="H303" s="25">
        <v>0</v>
      </c>
    </row>
    <row r="304" spans="1:8" x14ac:dyDescent="0.2">
      <c r="A304" s="10" t="s">
        <v>265</v>
      </c>
      <c r="B304" s="8" t="s">
        <v>54</v>
      </c>
      <c r="C304" s="8" t="s">
        <v>25</v>
      </c>
      <c r="D304" s="8" t="s">
        <v>264</v>
      </c>
      <c r="E304" s="8"/>
      <c r="F304" s="9">
        <f>F306+F305</f>
        <v>66280.399999999994</v>
      </c>
      <c r="G304" s="9">
        <f>G306+G305</f>
        <v>50430</v>
      </c>
      <c r="H304" s="9">
        <f>H306+H305</f>
        <v>50430</v>
      </c>
    </row>
    <row r="305" spans="1:8" x14ac:dyDescent="0.2">
      <c r="A305" s="27" t="s">
        <v>13</v>
      </c>
      <c r="B305" s="23" t="s">
        <v>54</v>
      </c>
      <c r="C305" s="23" t="s">
        <v>25</v>
      </c>
      <c r="D305" s="23" t="s">
        <v>264</v>
      </c>
      <c r="E305" s="24" t="s">
        <v>14</v>
      </c>
      <c r="F305" s="25">
        <v>15</v>
      </c>
      <c r="G305" s="25">
        <v>15</v>
      </c>
      <c r="H305" s="25">
        <v>15</v>
      </c>
    </row>
    <row r="306" spans="1:8" ht="25.5" x14ac:dyDescent="0.2">
      <c r="A306" s="27" t="s">
        <v>215</v>
      </c>
      <c r="B306" s="23" t="s">
        <v>54</v>
      </c>
      <c r="C306" s="23" t="s">
        <v>25</v>
      </c>
      <c r="D306" s="23" t="s">
        <v>264</v>
      </c>
      <c r="E306" s="23" t="s">
        <v>8</v>
      </c>
      <c r="F306" s="25">
        <f>50415+13.2+1.2-103.3+262.2-71.3-29-10-262.2+14450.7-5.6+655.9-68.1+1016.7</f>
        <v>66265.399999999994</v>
      </c>
      <c r="G306" s="25">
        <v>50415</v>
      </c>
      <c r="H306" s="25">
        <v>50415</v>
      </c>
    </row>
    <row r="307" spans="1:8" x14ac:dyDescent="0.2">
      <c r="A307" s="10" t="s">
        <v>267</v>
      </c>
      <c r="B307" s="8" t="s">
        <v>54</v>
      </c>
      <c r="C307" s="8" t="s">
        <v>25</v>
      </c>
      <c r="D307" s="8" t="s">
        <v>266</v>
      </c>
      <c r="E307" s="8"/>
      <c r="F307" s="9">
        <f>F308</f>
        <v>4348.3000000000011</v>
      </c>
      <c r="G307" s="9">
        <f>G308</f>
        <v>3103.8</v>
      </c>
      <c r="H307" s="9">
        <f>H308</f>
        <v>3103.8</v>
      </c>
    </row>
    <row r="308" spans="1:8" ht="25.5" x14ac:dyDescent="0.2">
      <c r="A308" s="27" t="s">
        <v>215</v>
      </c>
      <c r="B308" s="23" t="s">
        <v>54</v>
      </c>
      <c r="C308" s="23" t="s">
        <v>25</v>
      </c>
      <c r="D308" s="23" t="s">
        <v>266</v>
      </c>
      <c r="E308" s="23" t="s">
        <v>8</v>
      </c>
      <c r="F308" s="25">
        <f>3103.8+38.8+73+35.6+3-35.6+877-0.3+175.3+20.1+57.6</f>
        <v>4348.3000000000011</v>
      </c>
      <c r="G308" s="25">
        <v>3103.8</v>
      </c>
      <c r="H308" s="25">
        <v>3103.8</v>
      </c>
    </row>
    <row r="309" spans="1:8" x14ac:dyDescent="0.2">
      <c r="A309" s="10" t="s">
        <v>268</v>
      </c>
      <c r="B309" s="8" t="s">
        <v>54</v>
      </c>
      <c r="C309" s="8" t="s">
        <v>25</v>
      </c>
      <c r="D309" s="8" t="s">
        <v>269</v>
      </c>
      <c r="E309" s="8"/>
      <c r="F309" s="9">
        <f>F311+F310</f>
        <v>22158.5</v>
      </c>
      <c r="G309" s="9">
        <f>G311+G310</f>
        <v>16810.7</v>
      </c>
      <c r="H309" s="9">
        <f>H311+H310</f>
        <v>16810.7</v>
      </c>
    </row>
    <row r="310" spans="1:8" x14ac:dyDescent="0.2">
      <c r="A310" s="27" t="s">
        <v>13</v>
      </c>
      <c r="B310" s="23" t="s">
        <v>54</v>
      </c>
      <c r="C310" s="23" t="s">
        <v>25</v>
      </c>
      <c r="D310" s="23" t="s">
        <v>269</v>
      </c>
      <c r="E310" s="24" t="s">
        <v>14</v>
      </c>
      <c r="F310" s="25">
        <v>15</v>
      </c>
      <c r="G310" s="25">
        <v>15</v>
      </c>
      <c r="H310" s="25">
        <v>15</v>
      </c>
    </row>
    <row r="311" spans="1:8" ht="25.5" x14ac:dyDescent="0.2">
      <c r="A311" s="27" t="s">
        <v>215</v>
      </c>
      <c r="B311" s="23" t="s">
        <v>54</v>
      </c>
      <c r="C311" s="23" t="s">
        <v>25</v>
      </c>
      <c r="D311" s="23" t="s">
        <v>269</v>
      </c>
      <c r="E311" s="23" t="s">
        <v>8</v>
      </c>
      <c r="F311" s="25">
        <f>16795.7+16.4+49.7+70.7+16.6+40.9+24+3.5-70.7+4604.3+14.6+231.7+66.6+279.5</f>
        <v>22143.5</v>
      </c>
      <c r="G311" s="25">
        <v>16795.7</v>
      </c>
      <c r="H311" s="25">
        <v>16795.7</v>
      </c>
    </row>
    <row r="312" spans="1:8" ht="14.25" customHeight="1" x14ac:dyDescent="0.2">
      <c r="A312" s="14" t="s">
        <v>64</v>
      </c>
      <c r="B312" s="11" t="s">
        <v>54</v>
      </c>
      <c r="C312" s="11" t="s">
        <v>32</v>
      </c>
      <c r="D312" s="11"/>
      <c r="E312" s="11"/>
      <c r="F312" s="12">
        <f>F313+F317</f>
        <v>4414.8999999999996</v>
      </c>
      <c r="G312" s="12">
        <f t="shared" ref="G312:H312" si="47">G313+G317</f>
        <v>3954.2</v>
      </c>
      <c r="H312" s="12">
        <f t="shared" si="47"/>
        <v>3954.2</v>
      </c>
    </row>
    <row r="313" spans="1:8" x14ac:dyDescent="0.2">
      <c r="A313" s="10" t="s">
        <v>355</v>
      </c>
      <c r="B313" s="8" t="s">
        <v>54</v>
      </c>
      <c r="C313" s="8" t="s">
        <v>32</v>
      </c>
      <c r="D313" s="8" t="s">
        <v>270</v>
      </c>
      <c r="E313" s="8"/>
      <c r="F313" s="9">
        <f>F314+F315+F316</f>
        <v>1136.2</v>
      </c>
      <c r="G313" s="9">
        <f>G314+G315+G316</f>
        <v>1018.3</v>
      </c>
      <c r="H313" s="9">
        <f>H314+H315+H316</f>
        <v>1018.3</v>
      </c>
    </row>
    <row r="314" spans="1:8" ht="51" x14ac:dyDescent="0.2">
      <c r="A314" s="22" t="s">
        <v>9</v>
      </c>
      <c r="B314" s="23" t="s">
        <v>54</v>
      </c>
      <c r="C314" s="23" t="s">
        <v>32</v>
      </c>
      <c r="D314" s="23" t="s">
        <v>270</v>
      </c>
      <c r="E314" s="24" t="s">
        <v>10</v>
      </c>
      <c r="F314" s="25">
        <f>936.3+9+117.9</f>
        <v>1063.2</v>
      </c>
      <c r="G314" s="25">
        <f>936.3+9</f>
        <v>945.3</v>
      </c>
      <c r="H314" s="25">
        <f>936.3+9</f>
        <v>945.3</v>
      </c>
    </row>
    <row r="315" spans="1:8" ht="25.5" x14ac:dyDescent="0.2">
      <c r="A315" s="27" t="s">
        <v>20</v>
      </c>
      <c r="B315" s="23" t="s">
        <v>54</v>
      </c>
      <c r="C315" s="23" t="s">
        <v>32</v>
      </c>
      <c r="D315" s="23" t="s">
        <v>270</v>
      </c>
      <c r="E315" s="24" t="s">
        <v>12</v>
      </c>
      <c r="F315" s="25">
        <v>64.5</v>
      </c>
      <c r="G315" s="25">
        <v>64.5</v>
      </c>
      <c r="H315" s="25">
        <v>64.5</v>
      </c>
    </row>
    <row r="316" spans="1:8" x14ac:dyDescent="0.2">
      <c r="A316" s="27" t="s">
        <v>16</v>
      </c>
      <c r="B316" s="23" t="s">
        <v>54</v>
      </c>
      <c r="C316" s="23" t="s">
        <v>32</v>
      </c>
      <c r="D316" s="23" t="s">
        <v>270</v>
      </c>
      <c r="E316" s="23" t="s">
        <v>17</v>
      </c>
      <c r="F316" s="25">
        <v>8.5</v>
      </c>
      <c r="G316" s="25">
        <v>8.5</v>
      </c>
      <c r="H316" s="25">
        <v>8.5</v>
      </c>
    </row>
    <row r="317" spans="1:8" x14ac:dyDescent="0.2">
      <c r="A317" s="10" t="s">
        <v>355</v>
      </c>
      <c r="B317" s="8" t="s">
        <v>54</v>
      </c>
      <c r="C317" s="8" t="s">
        <v>32</v>
      </c>
      <c r="D317" s="8" t="s">
        <v>271</v>
      </c>
      <c r="E317" s="8"/>
      <c r="F317" s="9">
        <f>F318+F319+F320</f>
        <v>3278.7</v>
      </c>
      <c r="G317" s="9">
        <f t="shared" ref="G317:H317" si="48">G318+G319+G320</f>
        <v>2935.8999999999996</v>
      </c>
      <c r="H317" s="9">
        <f t="shared" si="48"/>
        <v>2935.8999999999996</v>
      </c>
    </row>
    <row r="318" spans="1:8" ht="51" x14ac:dyDescent="0.2">
      <c r="A318" s="22" t="s">
        <v>9</v>
      </c>
      <c r="B318" s="23" t="s">
        <v>54</v>
      </c>
      <c r="C318" s="23" t="s">
        <v>32</v>
      </c>
      <c r="D318" s="23" t="s">
        <v>271</v>
      </c>
      <c r="E318" s="24" t="s">
        <v>10</v>
      </c>
      <c r="F318" s="25">
        <f>2671.7+25.7+341.8</f>
        <v>3039.2</v>
      </c>
      <c r="G318" s="25">
        <f>2671.7+25.7</f>
        <v>2697.3999999999996</v>
      </c>
      <c r="H318" s="25">
        <f>2671.7+25.7</f>
        <v>2697.3999999999996</v>
      </c>
    </row>
    <row r="319" spans="1:8" ht="25.5" x14ac:dyDescent="0.2">
      <c r="A319" s="27" t="s">
        <v>20</v>
      </c>
      <c r="B319" s="23" t="s">
        <v>54</v>
      </c>
      <c r="C319" s="23" t="s">
        <v>32</v>
      </c>
      <c r="D319" s="23" t="s">
        <v>271</v>
      </c>
      <c r="E319" s="24" t="s">
        <v>12</v>
      </c>
      <c r="F319" s="25">
        <v>238.5</v>
      </c>
      <c r="G319" s="25">
        <v>238.5</v>
      </c>
      <c r="H319" s="25">
        <v>238.5</v>
      </c>
    </row>
    <row r="320" spans="1:8" x14ac:dyDescent="0.2">
      <c r="A320" s="27" t="s">
        <v>16</v>
      </c>
      <c r="B320" s="23" t="s">
        <v>54</v>
      </c>
      <c r="C320" s="23" t="s">
        <v>32</v>
      </c>
      <c r="D320" s="23" t="s">
        <v>403</v>
      </c>
      <c r="E320" s="24" t="s">
        <v>17</v>
      </c>
      <c r="F320" s="25">
        <v>1</v>
      </c>
      <c r="G320" s="25"/>
      <c r="H320" s="25"/>
    </row>
    <row r="321" spans="1:14" ht="15.75" x14ac:dyDescent="0.25">
      <c r="A321" s="35" t="s">
        <v>59</v>
      </c>
      <c r="B321" s="33" t="s">
        <v>58</v>
      </c>
      <c r="C321" s="33" t="s">
        <v>26</v>
      </c>
      <c r="D321" s="33"/>
      <c r="E321" s="33"/>
      <c r="F321" s="34">
        <f>F322+F326+F339+F430+F458</f>
        <v>990912.1656200001</v>
      </c>
      <c r="G321" s="34">
        <f>G322+G326+G339+G430+G458</f>
        <v>940009.20000000007</v>
      </c>
      <c r="H321" s="34">
        <f>H322+H326+H339+H430+H458</f>
        <v>881258.70000000007</v>
      </c>
    </row>
    <row r="322" spans="1:14" x14ac:dyDescent="0.2">
      <c r="A322" s="14" t="s">
        <v>60</v>
      </c>
      <c r="B322" s="11" t="s">
        <v>58</v>
      </c>
      <c r="C322" s="11" t="s">
        <v>25</v>
      </c>
      <c r="D322" s="11"/>
      <c r="E322" s="11"/>
      <c r="F322" s="12">
        <f>F323</f>
        <v>7005.4</v>
      </c>
      <c r="G322" s="12">
        <f>G323</f>
        <v>5805.4</v>
      </c>
      <c r="H322" s="12">
        <f>H323</f>
        <v>5805.4</v>
      </c>
    </row>
    <row r="323" spans="1:14" ht="76.5" x14ac:dyDescent="0.2">
      <c r="A323" s="10" t="s">
        <v>323</v>
      </c>
      <c r="B323" s="8" t="s">
        <v>58</v>
      </c>
      <c r="C323" s="8" t="s">
        <v>25</v>
      </c>
      <c r="D323" s="8" t="s">
        <v>274</v>
      </c>
      <c r="E323" s="8"/>
      <c r="F323" s="9">
        <f>F325+F324</f>
        <v>7005.4</v>
      </c>
      <c r="G323" s="9">
        <f>G325+G324</f>
        <v>5805.4</v>
      </c>
      <c r="H323" s="9">
        <f>H325+H324</f>
        <v>5805.4</v>
      </c>
    </row>
    <row r="324" spans="1:14" ht="25.5" x14ac:dyDescent="0.2">
      <c r="A324" s="27" t="s">
        <v>20</v>
      </c>
      <c r="B324" s="23" t="s">
        <v>58</v>
      </c>
      <c r="C324" s="23" t="s">
        <v>25</v>
      </c>
      <c r="D324" s="23" t="s">
        <v>274</v>
      </c>
      <c r="E324" s="24" t="s">
        <v>12</v>
      </c>
      <c r="F324" s="25">
        <f>28.9+6</f>
        <v>34.9</v>
      </c>
      <c r="G324" s="25">
        <v>28.9</v>
      </c>
      <c r="H324" s="25">
        <v>28.9</v>
      </c>
    </row>
    <row r="325" spans="1:14" x14ac:dyDescent="0.2">
      <c r="A325" s="27" t="s">
        <v>13</v>
      </c>
      <c r="B325" s="23" t="s">
        <v>58</v>
      </c>
      <c r="C325" s="23" t="s">
        <v>25</v>
      </c>
      <c r="D325" s="23" t="s">
        <v>274</v>
      </c>
      <c r="E325" s="23" t="s">
        <v>14</v>
      </c>
      <c r="F325" s="25">
        <f>5776.5+1194</f>
        <v>6970.5</v>
      </c>
      <c r="G325" s="25">
        <v>5776.5</v>
      </c>
      <c r="H325" s="25">
        <v>5776.5</v>
      </c>
    </row>
    <row r="326" spans="1:14" x14ac:dyDescent="0.2">
      <c r="A326" s="14" t="s">
        <v>61</v>
      </c>
      <c r="B326" s="11" t="s">
        <v>58</v>
      </c>
      <c r="C326" s="11" t="s">
        <v>28</v>
      </c>
      <c r="D326" s="11"/>
      <c r="E326" s="11"/>
      <c r="F326" s="12">
        <f>F327+F329+F334+F337</f>
        <v>158368.40599999999</v>
      </c>
      <c r="G326" s="12">
        <f t="shared" ref="G326:H326" si="49">G327+G329+G334+G337</f>
        <v>149192</v>
      </c>
      <c r="H326" s="12">
        <f t="shared" si="49"/>
        <v>149192</v>
      </c>
    </row>
    <row r="327" spans="1:14" ht="51" x14ac:dyDescent="0.2">
      <c r="A327" s="10" t="s">
        <v>275</v>
      </c>
      <c r="B327" s="8" t="s">
        <v>58</v>
      </c>
      <c r="C327" s="8" t="s">
        <v>28</v>
      </c>
      <c r="D327" s="8" t="s">
        <v>89</v>
      </c>
      <c r="E327" s="8"/>
      <c r="F327" s="9">
        <f>F328</f>
        <v>111295.5</v>
      </c>
      <c r="G327" s="9">
        <f>G328</f>
        <v>107263</v>
      </c>
      <c r="H327" s="9">
        <f>H328</f>
        <v>107263</v>
      </c>
    </row>
    <row r="328" spans="1:14" ht="25.5" x14ac:dyDescent="0.2">
      <c r="A328" s="27" t="s">
        <v>215</v>
      </c>
      <c r="B328" s="23" t="s">
        <v>58</v>
      </c>
      <c r="C328" s="23" t="s">
        <v>28</v>
      </c>
      <c r="D328" s="23" t="s">
        <v>90</v>
      </c>
      <c r="E328" s="23" t="s">
        <v>8</v>
      </c>
      <c r="F328" s="25">
        <f>85897+21366+4032.5</f>
        <v>111295.5</v>
      </c>
      <c r="G328" s="25">
        <f>85897+21366</f>
        <v>107263</v>
      </c>
      <c r="H328" s="25">
        <f>85897+21366</f>
        <v>107263</v>
      </c>
    </row>
    <row r="329" spans="1:14" ht="63.75" x14ac:dyDescent="0.2">
      <c r="A329" s="10" t="s">
        <v>276</v>
      </c>
      <c r="B329" s="8" t="s">
        <v>58</v>
      </c>
      <c r="C329" s="8" t="s">
        <v>28</v>
      </c>
      <c r="D329" s="8" t="s">
        <v>92</v>
      </c>
      <c r="E329" s="8"/>
      <c r="F329" s="9">
        <f>F330+F331+F333+F332</f>
        <v>46202.8</v>
      </c>
      <c r="G329" s="9">
        <f t="shared" ref="G329:H329" si="50">G330+G331+G333+G332</f>
        <v>41745</v>
      </c>
      <c r="H329" s="9">
        <f t="shared" si="50"/>
        <v>41745</v>
      </c>
    </row>
    <row r="330" spans="1:14" ht="51" x14ac:dyDescent="0.2">
      <c r="A330" s="22" t="s">
        <v>9</v>
      </c>
      <c r="B330" s="23" t="s">
        <v>58</v>
      </c>
      <c r="C330" s="23" t="s">
        <v>28</v>
      </c>
      <c r="D330" s="23" t="s">
        <v>92</v>
      </c>
      <c r="E330" s="24" t="s">
        <v>10</v>
      </c>
      <c r="F330" s="25">
        <f>33290+1417+4357.8</f>
        <v>39064.800000000003</v>
      </c>
      <c r="G330" s="25">
        <f>33290+1417</f>
        <v>34707</v>
      </c>
      <c r="H330" s="25">
        <f>33290+1417</f>
        <v>34707</v>
      </c>
    </row>
    <row r="331" spans="1:14" ht="25.5" x14ac:dyDescent="0.2">
      <c r="A331" s="27" t="s">
        <v>20</v>
      </c>
      <c r="B331" s="23" t="s">
        <v>58</v>
      </c>
      <c r="C331" s="23" t="s">
        <v>28</v>
      </c>
      <c r="D331" s="23" t="s">
        <v>92</v>
      </c>
      <c r="E331" s="24" t="s">
        <v>12</v>
      </c>
      <c r="F331" s="25">
        <f>180+6544-2.3+100</f>
        <v>6821.7</v>
      </c>
      <c r="G331" s="25">
        <f>180+6544</f>
        <v>6724</v>
      </c>
      <c r="H331" s="25">
        <f>180+6544</f>
        <v>6724</v>
      </c>
    </row>
    <row r="332" spans="1:14" s="26" customFormat="1" x14ac:dyDescent="0.2">
      <c r="A332" s="27" t="s">
        <v>13</v>
      </c>
      <c r="B332" s="23" t="s">
        <v>58</v>
      </c>
      <c r="C332" s="23" t="s">
        <v>28</v>
      </c>
      <c r="D332" s="23" t="s">
        <v>92</v>
      </c>
      <c r="E332" s="24" t="s">
        <v>14</v>
      </c>
      <c r="F332" s="25">
        <v>2.2999999999999998</v>
      </c>
      <c r="G332" s="25">
        <v>0</v>
      </c>
      <c r="H332" s="25">
        <v>0</v>
      </c>
      <c r="I332" s="4"/>
      <c r="J332" s="4"/>
      <c r="K332" s="4"/>
      <c r="L332" s="4"/>
      <c r="M332" s="4"/>
      <c r="N332" s="4"/>
    </row>
    <row r="333" spans="1:14" x14ac:dyDescent="0.2">
      <c r="A333" s="27" t="s">
        <v>16</v>
      </c>
      <c r="B333" s="23" t="s">
        <v>58</v>
      </c>
      <c r="C333" s="23" t="s">
        <v>28</v>
      </c>
      <c r="D333" s="23" t="s">
        <v>92</v>
      </c>
      <c r="E333" s="23" t="s">
        <v>17</v>
      </c>
      <c r="F333" s="25">
        <v>314</v>
      </c>
      <c r="G333" s="25">
        <v>314</v>
      </c>
      <c r="H333" s="25">
        <v>314</v>
      </c>
    </row>
    <row r="334" spans="1:14" ht="25.5" x14ac:dyDescent="0.2">
      <c r="A334" s="10" t="s">
        <v>278</v>
      </c>
      <c r="B334" s="8" t="s">
        <v>58</v>
      </c>
      <c r="C334" s="8" t="s">
        <v>28</v>
      </c>
      <c r="D334" s="8" t="s">
        <v>277</v>
      </c>
      <c r="E334" s="8"/>
      <c r="F334" s="9">
        <f>F335+F336</f>
        <v>717.10599999999999</v>
      </c>
      <c r="G334" s="9">
        <f>G335+G336</f>
        <v>31</v>
      </c>
      <c r="H334" s="9">
        <f>H335+H336</f>
        <v>31</v>
      </c>
    </row>
    <row r="335" spans="1:14" ht="51" x14ac:dyDescent="0.2">
      <c r="A335" s="22" t="s">
        <v>9</v>
      </c>
      <c r="B335" s="23" t="s">
        <v>58</v>
      </c>
      <c r="C335" s="23" t="s">
        <v>28</v>
      </c>
      <c r="D335" s="23" t="s">
        <v>277</v>
      </c>
      <c r="E335" s="24" t="s">
        <v>10</v>
      </c>
      <c r="F335" s="25">
        <f>17.2</f>
        <v>17.2</v>
      </c>
      <c r="G335" s="25">
        <v>17.2</v>
      </c>
      <c r="H335" s="25">
        <v>17.2</v>
      </c>
    </row>
    <row r="336" spans="1:14" ht="25.5" x14ac:dyDescent="0.2">
      <c r="A336" s="27" t="s">
        <v>20</v>
      </c>
      <c r="B336" s="23" t="s">
        <v>58</v>
      </c>
      <c r="C336" s="23" t="s">
        <v>28</v>
      </c>
      <c r="D336" s="23" t="s">
        <v>277</v>
      </c>
      <c r="E336" s="24" t="s">
        <v>12</v>
      </c>
      <c r="F336" s="25">
        <v>699.90599999999995</v>
      </c>
      <c r="G336" s="25">
        <v>13.8</v>
      </c>
      <c r="H336" s="25">
        <v>13.8</v>
      </c>
    </row>
    <row r="337" spans="1:12" ht="75" customHeight="1" x14ac:dyDescent="0.2">
      <c r="A337" s="10" t="s">
        <v>293</v>
      </c>
      <c r="B337" s="8" t="s">
        <v>58</v>
      </c>
      <c r="C337" s="8" t="s">
        <v>28</v>
      </c>
      <c r="D337" s="8" t="s">
        <v>110</v>
      </c>
      <c r="E337" s="8"/>
      <c r="F337" s="9">
        <f>F338</f>
        <v>153</v>
      </c>
      <c r="G337" s="9">
        <f t="shared" ref="G337:H337" si="51">G338</f>
        <v>153</v>
      </c>
      <c r="H337" s="9">
        <f t="shared" si="51"/>
        <v>153</v>
      </c>
    </row>
    <row r="338" spans="1:12" s="26" customFormat="1" ht="51.75" customHeight="1" x14ac:dyDescent="0.2">
      <c r="A338" s="22" t="s">
        <v>9</v>
      </c>
      <c r="B338" s="23" t="s">
        <v>58</v>
      </c>
      <c r="C338" s="23" t="s">
        <v>28</v>
      </c>
      <c r="D338" s="23" t="s">
        <v>110</v>
      </c>
      <c r="E338" s="23" t="s">
        <v>10</v>
      </c>
      <c r="F338" s="25">
        <v>153</v>
      </c>
      <c r="G338" s="25">
        <v>153</v>
      </c>
      <c r="H338" s="25">
        <v>153</v>
      </c>
    </row>
    <row r="339" spans="1:12" x14ac:dyDescent="0.2">
      <c r="A339" s="14" t="s">
        <v>62</v>
      </c>
      <c r="B339" s="11" t="s">
        <v>58</v>
      </c>
      <c r="C339" s="11" t="s">
        <v>30</v>
      </c>
      <c r="D339" s="11"/>
      <c r="E339" s="11"/>
      <c r="F339" s="12">
        <f>F342+F349+F355+F360+F362+F358+F367+F372+F375+F378+F381+F384+F387+F390+F394+F397+F400+F403+F406+F408+F411+F414+F417+F420+F423+F426+F369+F364+F340+F347+F353+F345+F351</f>
        <v>576517.90800000005</v>
      </c>
      <c r="G339" s="12">
        <f t="shared" ref="G339:H339" si="52">G342+G349+G355+G360+G362+G358+G367+G372+G375+G378+G381+G384+G387+G390+G394+G397+G400+G403+G406+G408+G411+G414+G417+G420+G423+G426+G369+G364+G340+G347+G353+G345+G351</f>
        <v>560853.80000000005</v>
      </c>
      <c r="H339" s="12">
        <f t="shared" si="52"/>
        <v>496713.60000000009</v>
      </c>
    </row>
    <row r="340" spans="1:12" ht="51" x14ac:dyDescent="0.2">
      <c r="A340" s="10" t="s">
        <v>382</v>
      </c>
      <c r="B340" s="8" t="s">
        <v>58</v>
      </c>
      <c r="C340" s="8" t="s">
        <v>30</v>
      </c>
      <c r="D340" s="8" t="s">
        <v>384</v>
      </c>
      <c r="E340" s="8"/>
      <c r="F340" s="9">
        <f>F341</f>
        <v>595.09599999999989</v>
      </c>
      <c r="G340" s="9">
        <f>G341</f>
        <v>0</v>
      </c>
      <c r="H340" s="9">
        <f>H341</f>
        <v>1190.0999999999999</v>
      </c>
    </row>
    <row r="341" spans="1:12" ht="25.5" x14ac:dyDescent="0.2">
      <c r="A341" s="27" t="s">
        <v>74</v>
      </c>
      <c r="B341" s="23" t="s">
        <v>58</v>
      </c>
      <c r="C341" s="23" t="s">
        <v>30</v>
      </c>
      <c r="D341" s="23" t="s">
        <v>384</v>
      </c>
      <c r="E341" s="23" t="s">
        <v>15</v>
      </c>
      <c r="F341" s="25">
        <f>1190.1-595.004</f>
        <v>595.09599999999989</v>
      </c>
      <c r="G341" s="25">
        <v>0</v>
      </c>
      <c r="H341" s="25">
        <v>1190.0999999999999</v>
      </c>
    </row>
    <row r="342" spans="1:12" ht="63.75" x14ac:dyDescent="0.2">
      <c r="A342" s="10" t="s">
        <v>279</v>
      </c>
      <c r="B342" s="8" t="s">
        <v>58</v>
      </c>
      <c r="C342" s="8" t="s">
        <v>30</v>
      </c>
      <c r="D342" s="8" t="s">
        <v>81</v>
      </c>
      <c r="E342" s="8"/>
      <c r="F342" s="9">
        <f>F344+F343</f>
        <v>2380.11</v>
      </c>
      <c r="G342" s="9">
        <f>G344</f>
        <v>3570.2000000000003</v>
      </c>
      <c r="H342" s="9">
        <f>H344</f>
        <v>2380.1</v>
      </c>
    </row>
    <row r="343" spans="1:12" x14ac:dyDescent="0.2">
      <c r="A343" s="27" t="s">
        <v>13</v>
      </c>
      <c r="B343" s="8"/>
      <c r="C343" s="8"/>
      <c r="D343" s="8"/>
      <c r="E343" s="8" t="s">
        <v>14</v>
      </c>
      <c r="F343" s="9">
        <v>2380.11</v>
      </c>
      <c r="G343" s="9"/>
      <c r="H343" s="9"/>
    </row>
    <row r="344" spans="1:12" ht="25.5" x14ac:dyDescent="0.2">
      <c r="A344" s="27" t="s">
        <v>74</v>
      </c>
      <c r="B344" s="23" t="s">
        <v>58</v>
      </c>
      <c r="C344" s="23" t="s">
        <v>30</v>
      </c>
      <c r="D344" s="23" t="s">
        <v>81</v>
      </c>
      <c r="E344" s="23" t="s">
        <v>15</v>
      </c>
      <c r="F344" s="25">
        <f>1485.2+894.9+0.01-2380.11</f>
        <v>0</v>
      </c>
      <c r="G344" s="25">
        <f>3578.4-8.2</f>
        <v>3570.2000000000003</v>
      </c>
      <c r="H344" s="25">
        <f>3746.1-1366</f>
        <v>2380.1</v>
      </c>
    </row>
    <row r="345" spans="1:12" ht="25.5" x14ac:dyDescent="0.2">
      <c r="A345" s="10" t="s">
        <v>357</v>
      </c>
      <c r="B345" s="8" t="s">
        <v>58</v>
      </c>
      <c r="C345" s="8" t="s">
        <v>30</v>
      </c>
      <c r="D345" s="8" t="s">
        <v>356</v>
      </c>
      <c r="E345" s="8"/>
      <c r="F345" s="9">
        <f>F346</f>
        <v>10990.7</v>
      </c>
      <c r="G345" s="9">
        <f>G346</f>
        <v>0</v>
      </c>
      <c r="H345" s="9">
        <f>H346</f>
        <v>0</v>
      </c>
    </row>
    <row r="346" spans="1:12" s="26" customFormat="1" ht="25.5" x14ac:dyDescent="0.2">
      <c r="A346" s="27" t="s">
        <v>74</v>
      </c>
      <c r="B346" s="23" t="s">
        <v>58</v>
      </c>
      <c r="C346" s="23" t="s">
        <v>30</v>
      </c>
      <c r="D346" s="23" t="s">
        <v>356</v>
      </c>
      <c r="E346" s="23" t="s">
        <v>15</v>
      </c>
      <c r="F346" s="25">
        <v>10990.7</v>
      </c>
      <c r="G346" s="25">
        <v>0</v>
      </c>
      <c r="H346" s="25">
        <v>0</v>
      </c>
      <c r="I346" s="13"/>
      <c r="J346" s="13"/>
      <c r="K346" s="13"/>
      <c r="L346" s="13"/>
    </row>
    <row r="347" spans="1:12" ht="38.25" x14ac:dyDescent="0.2">
      <c r="A347" s="10" t="s">
        <v>199</v>
      </c>
      <c r="B347" s="8" t="s">
        <v>58</v>
      </c>
      <c r="C347" s="8" t="s">
        <v>30</v>
      </c>
      <c r="D347" s="8" t="s">
        <v>198</v>
      </c>
      <c r="E347" s="8"/>
      <c r="F347" s="9">
        <f>F348</f>
        <v>940</v>
      </c>
      <c r="G347" s="9">
        <f>G348</f>
        <v>203.7</v>
      </c>
      <c r="H347" s="9">
        <f>H348</f>
        <v>435.9</v>
      </c>
    </row>
    <row r="348" spans="1:12" s="26" customFormat="1" ht="25.5" x14ac:dyDescent="0.2">
      <c r="A348" s="27" t="s">
        <v>74</v>
      </c>
      <c r="B348" s="23" t="s">
        <v>58</v>
      </c>
      <c r="C348" s="23" t="s">
        <v>30</v>
      </c>
      <c r="D348" s="23" t="s">
        <v>198</v>
      </c>
      <c r="E348" s="23" t="s">
        <v>15</v>
      </c>
      <c r="F348" s="25">
        <v>940</v>
      </c>
      <c r="G348" s="25">
        <v>203.7</v>
      </c>
      <c r="H348" s="25">
        <v>435.9</v>
      </c>
      <c r="I348" s="13"/>
      <c r="J348" s="13"/>
      <c r="K348" s="13"/>
    </row>
    <row r="349" spans="1:12" ht="38.25" x14ac:dyDescent="0.2">
      <c r="A349" s="10" t="s">
        <v>343</v>
      </c>
      <c r="B349" s="8" t="s">
        <v>58</v>
      </c>
      <c r="C349" s="8" t="s">
        <v>30</v>
      </c>
      <c r="D349" s="8" t="s">
        <v>126</v>
      </c>
      <c r="E349" s="8"/>
      <c r="F349" s="9">
        <f>F350</f>
        <v>0</v>
      </c>
      <c r="G349" s="9">
        <f>G350</f>
        <v>0</v>
      </c>
      <c r="H349" s="9">
        <f>H350</f>
        <v>0</v>
      </c>
    </row>
    <row r="350" spans="1:12" x14ac:dyDescent="0.2">
      <c r="A350" s="59" t="s">
        <v>13</v>
      </c>
      <c r="B350" s="23" t="s">
        <v>58</v>
      </c>
      <c r="C350" s="23" t="s">
        <v>30</v>
      </c>
      <c r="D350" s="23" t="s">
        <v>126</v>
      </c>
      <c r="E350" s="28">
        <v>300</v>
      </c>
      <c r="F350" s="25">
        <f>1941.1-1941.1</f>
        <v>0</v>
      </c>
      <c r="G350" s="25">
        <f>369.2-369.2</f>
        <v>0</v>
      </c>
      <c r="H350" s="25">
        <f>1005.4-1005.4</f>
        <v>0</v>
      </c>
    </row>
    <row r="351" spans="1:12" x14ac:dyDescent="0.2">
      <c r="A351" s="10" t="s">
        <v>395</v>
      </c>
      <c r="B351" s="8" t="s">
        <v>58</v>
      </c>
      <c r="C351" s="8" t="s">
        <v>30</v>
      </c>
      <c r="D351" s="8" t="s">
        <v>396</v>
      </c>
      <c r="E351" s="8"/>
      <c r="F351" s="9">
        <f>F352</f>
        <v>5477.0048499999994</v>
      </c>
      <c r="G351" s="9">
        <f>G352</f>
        <v>369.2</v>
      </c>
      <c r="H351" s="9">
        <f>H352</f>
        <v>1005.4</v>
      </c>
    </row>
    <row r="352" spans="1:12" s="26" customFormat="1" x14ac:dyDescent="0.2">
      <c r="A352" s="59" t="s">
        <v>13</v>
      </c>
      <c r="B352" s="23" t="s">
        <v>58</v>
      </c>
      <c r="C352" s="23" t="s">
        <v>30</v>
      </c>
      <c r="D352" s="23" t="s">
        <v>396</v>
      </c>
      <c r="E352" s="28">
        <v>300</v>
      </c>
      <c r="F352" s="25">
        <f>1941.1+3535.90485</f>
        <v>5477.0048499999994</v>
      </c>
      <c r="G352" s="25">
        <v>369.2</v>
      </c>
      <c r="H352" s="25">
        <v>1005.4</v>
      </c>
      <c r="I352" s="13"/>
      <c r="J352" s="13"/>
      <c r="K352" s="13"/>
      <c r="L352" s="13"/>
    </row>
    <row r="353" spans="1:15" ht="25.5" x14ac:dyDescent="0.2">
      <c r="A353" s="10" t="s">
        <v>183</v>
      </c>
      <c r="B353" s="8" t="s">
        <v>58</v>
      </c>
      <c r="C353" s="8" t="s">
        <v>30</v>
      </c>
      <c r="D353" s="8" t="s">
        <v>82</v>
      </c>
      <c r="E353" s="8"/>
      <c r="F353" s="9">
        <f>F354</f>
        <v>221327.9</v>
      </c>
      <c r="G353" s="9">
        <f>G354</f>
        <v>214857.1</v>
      </c>
      <c r="H353" s="9">
        <f>H354</f>
        <v>149488.5</v>
      </c>
    </row>
    <row r="354" spans="1:15" s="26" customFormat="1" x14ac:dyDescent="0.2">
      <c r="A354" s="27" t="s">
        <v>13</v>
      </c>
      <c r="B354" s="23" t="s">
        <v>58</v>
      </c>
      <c r="C354" s="23" t="s">
        <v>30</v>
      </c>
      <c r="D354" s="23" t="s">
        <v>82</v>
      </c>
      <c r="E354" s="23" t="s">
        <v>14</v>
      </c>
      <c r="F354" s="25">
        <f>221327.9-10000+10000</f>
        <v>221327.9</v>
      </c>
      <c r="G354" s="25">
        <v>214857.1</v>
      </c>
      <c r="H354" s="25">
        <v>149488.5</v>
      </c>
    </row>
    <row r="355" spans="1:15" ht="25.5" x14ac:dyDescent="0.2">
      <c r="A355" s="10" t="s">
        <v>367</v>
      </c>
      <c r="B355" s="8" t="s">
        <v>58</v>
      </c>
      <c r="C355" s="8" t="s">
        <v>30</v>
      </c>
      <c r="D355" s="8" t="s">
        <v>76</v>
      </c>
      <c r="E355" s="8"/>
      <c r="F355" s="9">
        <f>F356+F357</f>
        <v>1800</v>
      </c>
      <c r="G355" s="9">
        <f t="shared" ref="G355:H355" si="53">G356+G357</f>
        <v>1800</v>
      </c>
      <c r="H355" s="9">
        <f t="shared" si="53"/>
        <v>1800</v>
      </c>
    </row>
    <row r="356" spans="1:15" x14ac:dyDescent="0.2">
      <c r="A356" s="59" t="s">
        <v>13</v>
      </c>
      <c r="B356" s="23" t="s">
        <v>58</v>
      </c>
      <c r="C356" s="23" t="s">
        <v>30</v>
      </c>
      <c r="D356" s="23" t="s">
        <v>76</v>
      </c>
      <c r="E356" s="23" t="s">
        <v>14</v>
      </c>
      <c r="F356" s="25">
        <f>185+35.6</f>
        <v>220.6</v>
      </c>
      <c r="G356" s="25">
        <f>185+35.6</f>
        <v>220.6</v>
      </c>
      <c r="H356" s="25">
        <f>185+35.6</f>
        <v>220.6</v>
      </c>
    </row>
    <row r="357" spans="1:15" ht="25.5" x14ac:dyDescent="0.2">
      <c r="A357" s="27" t="s">
        <v>215</v>
      </c>
      <c r="B357" s="23" t="s">
        <v>58</v>
      </c>
      <c r="C357" s="23" t="s">
        <v>30</v>
      </c>
      <c r="D357" s="23" t="s">
        <v>76</v>
      </c>
      <c r="E357" s="23" t="s">
        <v>8</v>
      </c>
      <c r="F357" s="25">
        <f>1499.4+80</f>
        <v>1579.4</v>
      </c>
      <c r="G357" s="25">
        <f>1499.4+80</f>
        <v>1579.4</v>
      </c>
      <c r="H357" s="25">
        <f>1499.4+80</f>
        <v>1579.4</v>
      </c>
    </row>
    <row r="358" spans="1:15" ht="38.25" x14ac:dyDescent="0.2">
      <c r="A358" s="10" t="s">
        <v>280</v>
      </c>
      <c r="B358" s="8" t="s">
        <v>58</v>
      </c>
      <c r="C358" s="8" t="s">
        <v>30</v>
      </c>
      <c r="D358" s="8" t="s">
        <v>118</v>
      </c>
      <c r="E358" s="8"/>
      <c r="F358" s="9">
        <f>F359</f>
        <v>207</v>
      </c>
      <c r="G358" s="9">
        <f>G359</f>
        <v>207</v>
      </c>
      <c r="H358" s="9">
        <f>H359</f>
        <v>207</v>
      </c>
    </row>
    <row r="359" spans="1:15" x14ac:dyDescent="0.2">
      <c r="A359" s="59" t="s">
        <v>13</v>
      </c>
      <c r="B359" s="23" t="s">
        <v>58</v>
      </c>
      <c r="C359" s="23" t="s">
        <v>30</v>
      </c>
      <c r="D359" s="23" t="s">
        <v>118</v>
      </c>
      <c r="E359" s="28">
        <v>300</v>
      </c>
      <c r="F359" s="25">
        <v>207</v>
      </c>
      <c r="G359" s="25">
        <v>207</v>
      </c>
      <c r="H359" s="25">
        <v>207</v>
      </c>
    </row>
    <row r="360" spans="1:15" ht="51" x14ac:dyDescent="0.2">
      <c r="A360" s="10" t="s">
        <v>281</v>
      </c>
      <c r="B360" s="8" t="s">
        <v>58</v>
      </c>
      <c r="C360" s="8" t="s">
        <v>30</v>
      </c>
      <c r="D360" s="23" t="s">
        <v>117</v>
      </c>
      <c r="E360" s="8"/>
      <c r="F360" s="9">
        <f>F361</f>
        <v>387</v>
      </c>
      <c r="G360" s="9">
        <f>G361</f>
        <v>387</v>
      </c>
      <c r="H360" s="9">
        <f>H361</f>
        <v>387</v>
      </c>
    </row>
    <row r="361" spans="1:15" x14ac:dyDescent="0.2">
      <c r="A361" s="59" t="s">
        <v>13</v>
      </c>
      <c r="B361" s="23" t="s">
        <v>58</v>
      </c>
      <c r="C361" s="23" t="s">
        <v>30</v>
      </c>
      <c r="D361" s="23" t="s">
        <v>117</v>
      </c>
      <c r="E361" s="28">
        <v>300</v>
      </c>
      <c r="F361" s="25">
        <v>387</v>
      </c>
      <c r="G361" s="25">
        <v>387</v>
      </c>
      <c r="H361" s="25">
        <v>387</v>
      </c>
    </row>
    <row r="362" spans="1:15" ht="38.25" x14ac:dyDescent="0.2">
      <c r="A362" s="38" t="s">
        <v>282</v>
      </c>
      <c r="B362" s="8" t="s">
        <v>58</v>
      </c>
      <c r="C362" s="8" t="s">
        <v>30</v>
      </c>
      <c r="D362" s="8" t="s">
        <v>116</v>
      </c>
      <c r="E362" s="8"/>
      <c r="F362" s="9">
        <f>F363</f>
        <v>570</v>
      </c>
      <c r="G362" s="9">
        <f>G363</f>
        <v>570</v>
      </c>
      <c r="H362" s="9">
        <f>H363</f>
        <v>570</v>
      </c>
    </row>
    <row r="363" spans="1:15" x14ac:dyDescent="0.2">
      <c r="A363" s="59" t="s">
        <v>13</v>
      </c>
      <c r="B363" s="23" t="s">
        <v>58</v>
      </c>
      <c r="C363" s="23" t="s">
        <v>30</v>
      </c>
      <c r="D363" s="23" t="s">
        <v>116</v>
      </c>
      <c r="E363" s="23" t="s">
        <v>14</v>
      </c>
      <c r="F363" s="25">
        <v>570</v>
      </c>
      <c r="G363" s="25">
        <v>570</v>
      </c>
      <c r="H363" s="25">
        <v>570</v>
      </c>
    </row>
    <row r="364" spans="1:15" ht="25.5" x14ac:dyDescent="0.2">
      <c r="A364" s="38" t="s">
        <v>283</v>
      </c>
      <c r="B364" s="8" t="s">
        <v>58</v>
      </c>
      <c r="C364" s="8" t="s">
        <v>30</v>
      </c>
      <c r="D364" s="8" t="s">
        <v>123</v>
      </c>
      <c r="E364" s="8"/>
      <c r="F364" s="9">
        <f>F366+F365</f>
        <v>550.9</v>
      </c>
      <c r="G364" s="9">
        <f>G366+G365</f>
        <v>550.9</v>
      </c>
      <c r="H364" s="9">
        <f>H366+H365</f>
        <v>550.9</v>
      </c>
      <c r="N364" s="26"/>
      <c r="O364" s="26"/>
    </row>
    <row r="365" spans="1:15" ht="25.5" x14ac:dyDescent="0.2">
      <c r="A365" s="27" t="s">
        <v>20</v>
      </c>
      <c r="B365" s="23" t="s">
        <v>58</v>
      </c>
      <c r="C365" s="23" t="s">
        <v>30</v>
      </c>
      <c r="D365" s="23" t="s">
        <v>123</v>
      </c>
      <c r="E365" s="24" t="s">
        <v>12</v>
      </c>
      <c r="F365" s="25">
        <v>89.4</v>
      </c>
      <c r="G365" s="25">
        <v>89.4</v>
      </c>
      <c r="H365" s="25">
        <v>89.4</v>
      </c>
    </row>
    <row r="366" spans="1:15" ht="25.5" x14ac:dyDescent="0.2">
      <c r="A366" s="27" t="s">
        <v>215</v>
      </c>
      <c r="B366" s="23" t="s">
        <v>58</v>
      </c>
      <c r="C366" s="23" t="s">
        <v>30</v>
      </c>
      <c r="D366" s="23" t="s">
        <v>123</v>
      </c>
      <c r="E366" s="23" t="s">
        <v>8</v>
      </c>
      <c r="F366" s="25">
        <f>432+29.5</f>
        <v>461.5</v>
      </c>
      <c r="G366" s="25">
        <f>432+29.5</f>
        <v>461.5</v>
      </c>
      <c r="H366" s="25">
        <f>432+29.5</f>
        <v>461.5</v>
      </c>
      <c r="I366" s="4"/>
      <c r="J366" s="4"/>
      <c r="K366" s="4"/>
      <c r="L366" s="4"/>
      <c r="M366" s="4"/>
      <c r="N366" s="4"/>
      <c r="O366" s="4"/>
    </row>
    <row r="367" spans="1:15" ht="63.75" x14ac:dyDescent="0.2">
      <c r="A367" s="10" t="s">
        <v>284</v>
      </c>
      <c r="B367" s="8" t="s">
        <v>58</v>
      </c>
      <c r="C367" s="8" t="s">
        <v>30</v>
      </c>
      <c r="D367" s="8" t="s">
        <v>119</v>
      </c>
      <c r="E367" s="8"/>
      <c r="F367" s="9">
        <f>F368</f>
        <v>1000</v>
      </c>
      <c r="G367" s="9">
        <f>G368</f>
        <v>1000</v>
      </c>
      <c r="H367" s="9">
        <f>H368</f>
        <v>1000</v>
      </c>
    </row>
    <row r="368" spans="1:15" x14ac:dyDescent="0.2">
      <c r="A368" s="27" t="s">
        <v>13</v>
      </c>
      <c r="B368" s="23" t="s">
        <v>58</v>
      </c>
      <c r="C368" s="23" t="s">
        <v>30</v>
      </c>
      <c r="D368" s="23" t="s">
        <v>119</v>
      </c>
      <c r="E368" s="23" t="s">
        <v>14</v>
      </c>
      <c r="F368" s="25">
        <v>1000</v>
      </c>
      <c r="G368" s="25">
        <v>1000</v>
      </c>
      <c r="H368" s="25">
        <v>1000</v>
      </c>
    </row>
    <row r="369" spans="1:8" ht="38.25" x14ac:dyDescent="0.2">
      <c r="A369" s="10" t="s">
        <v>285</v>
      </c>
      <c r="B369" s="8" t="s">
        <v>58</v>
      </c>
      <c r="C369" s="8" t="s">
        <v>30</v>
      </c>
      <c r="D369" s="8" t="s">
        <v>109</v>
      </c>
      <c r="E369" s="8"/>
      <c r="F369" s="9">
        <f>F371+F370</f>
        <v>462</v>
      </c>
      <c r="G369" s="9">
        <f>G371+G370</f>
        <v>521</v>
      </c>
      <c r="H369" s="9">
        <f>H371+H370</f>
        <v>541</v>
      </c>
    </row>
    <row r="370" spans="1:8" ht="25.5" x14ac:dyDescent="0.2">
      <c r="A370" s="27" t="s">
        <v>20</v>
      </c>
      <c r="B370" s="23" t="s">
        <v>58</v>
      </c>
      <c r="C370" s="23" t="s">
        <v>30</v>
      </c>
      <c r="D370" s="23" t="s">
        <v>109</v>
      </c>
      <c r="E370" s="24" t="s">
        <v>12</v>
      </c>
      <c r="F370" s="25">
        <v>2.2000000000000002</v>
      </c>
      <c r="G370" s="25">
        <v>2.2000000000000002</v>
      </c>
      <c r="H370" s="25">
        <v>2.2000000000000002</v>
      </c>
    </row>
    <row r="371" spans="1:8" x14ac:dyDescent="0.2">
      <c r="A371" s="27" t="s">
        <v>13</v>
      </c>
      <c r="B371" s="23" t="s">
        <v>58</v>
      </c>
      <c r="C371" s="23" t="s">
        <v>30</v>
      </c>
      <c r="D371" s="23" t="s">
        <v>109</v>
      </c>
      <c r="E371" s="23" t="s">
        <v>14</v>
      </c>
      <c r="F371" s="25">
        <v>459.8</v>
      </c>
      <c r="G371" s="25">
        <v>518.79999999999995</v>
      </c>
      <c r="H371" s="25">
        <v>538.79999999999995</v>
      </c>
    </row>
    <row r="372" spans="1:8" ht="38.25" x14ac:dyDescent="0.2">
      <c r="A372" s="10" t="s">
        <v>330</v>
      </c>
      <c r="B372" s="8" t="s">
        <v>58</v>
      </c>
      <c r="C372" s="8" t="s">
        <v>30</v>
      </c>
      <c r="D372" s="8" t="s">
        <v>94</v>
      </c>
      <c r="E372" s="8"/>
      <c r="F372" s="9">
        <f>F374+F373</f>
        <v>8638.4971500000011</v>
      </c>
      <c r="G372" s="9">
        <f>G374+G373</f>
        <v>8484</v>
      </c>
      <c r="H372" s="9">
        <f>H374+H373</f>
        <v>8824</v>
      </c>
    </row>
    <row r="373" spans="1:8" ht="25.5" x14ac:dyDescent="0.2">
      <c r="A373" s="27" t="s">
        <v>20</v>
      </c>
      <c r="B373" s="23" t="s">
        <v>58</v>
      </c>
      <c r="C373" s="23" t="s">
        <v>30</v>
      </c>
      <c r="D373" s="23" t="s">
        <v>94</v>
      </c>
      <c r="E373" s="24" t="s">
        <v>12</v>
      </c>
      <c r="F373" s="25">
        <f>40+2.30283</f>
        <v>42.30283</v>
      </c>
      <c r="G373" s="25">
        <v>43</v>
      </c>
      <c r="H373" s="25">
        <v>44</v>
      </c>
    </row>
    <row r="374" spans="1:8" x14ac:dyDescent="0.2">
      <c r="A374" s="27" t="s">
        <v>13</v>
      </c>
      <c r="B374" s="23" t="s">
        <v>58</v>
      </c>
      <c r="C374" s="23" t="s">
        <v>30</v>
      </c>
      <c r="D374" s="23" t="s">
        <v>94</v>
      </c>
      <c r="E374" s="23" t="s">
        <v>14</v>
      </c>
      <c r="F374" s="25">
        <f>8166-48+478.19432</f>
        <v>8596.1943200000005</v>
      </c>
      <c r="G374" s="25">
        <f>8491-50</f>
        <v>8441</v>
      </c>
      <c r="H374" s="25">
        <f>8832-52</f>
        <v>8780</v>
      </c>
    </row>
    <row r="375" spans="1:8" ht="25.5" x14ac:dyDescent="0.2">
      <c r="A375" s="10" t="s">
        <v>286</v>
      </c>
      <c r="B375" s="8" t="s">
        <v>58</v>
      </c>
      <c r="C375" s="8" t="s">
        <v>30</v>
      </c>
      <c r="D375" s="8" t="s">
        <v>96</v>
      </c>
      <c r="E375" s="8"/>
      <c r="F375" s="9">
        <f>F377+F376</f>
        <v>56361</v>
      </c>
      <c r="G375" s="9">
        <f>G377+G376</f>
        <v>57502</v>
      </c>
      <c r="H375" s="9">
        <f>H377+H376</f>
        <v>57502</v>
      </c>
    </row>
    <row r="376" spans="1:8" ht="25.5" x14ac:dyDescent="0.2">
      <c r="A376" s="27" t="s">
        <v>20</v>
      </c>
      <c r="B376" s="23" t="s">
        <v>58</v>
      </c>
      <c r="C376" s="23" t="s">
        <v>30</v>
      </c>
      <c r="D376" s="23" t="s">
        <v>96</v>
      </c>
      <c r="E376" s="24" t="s">
        <v>12</v>
      </c>
      <c r="F376" s="25">
        <f>561.5+146.5</f>
        <v>708</v>
      </c>
      <c r="G376" s="25">
        <f>571.5+161.5</f>
        <v>733</v>
      </c>
      <c r="H376" s="25">
        <f>571.5+161.5</f>
        <v>733</v>
      </c>
    </row>
    <row r="377" spans="1:8" x14ac:dyDescent="0.2">
      <c r="A377" s="27" t="s">
        <v>13</v>
      </c>
      <c r="B377" s="23" t="s">
        <v>58</v>
      </c>
      <c r="C377" s="23" t="s">
        <v>30</v>
      </c>
      <c r="D377" s="23" t="s">
        <v>96</v>
      </c>
      <c r="E377" s="23" t="s">
        <v>14</v>
      </c>
      <c r="F377" s="25">
        <v>55653</v>
      </c>
      <c r="G377" s="25">
        <v>56769</v>
      </c>
      <c r="H377" s="25">
        <v>56769</v>
      </c>
    </row>
    <row r="378" spans="1:8" ht="76.5" x14ac:dyDescent="0.2">
      <c r="A378" s="10" t="s">
        <v>335</v>
      </c>
      <c r="B378" s="8" t="s">
        <v>58</v>
      </c>
      <c r="C378" s="8" t="s">
        <v>30</v>
      </c>
      <c r="D378" s="8" t="s">
        <v>95</v>
      </c>
      <c r="E378" s="8"/>
      <c r="F378" s="9">
        <f>F379+F380</f>
        <v>9</v>
      </c>
      <c r="G378" s="9">
        <f>G379+G380</f>
        <v>10</v>
      </c>
      <c r="H378" s="9">
        <f>H379+H380</f>
        <v>10</v>
      </c>
    </row>
    <row r="379" spans="1:8" ht="25.5" x14ac:dyDescent="0.2">
      <c r="A379" s="27" t="s">
        <v>20</v>
      </c>
      <c r="B379" s="23" t="s">
        <v>58</v>
      </c>
      <c r="C379" s="23" t="s">
        <v>30</v>
      </c>
      <c r="D379" s="23" t="s">
        <v>95</v>
      </c>
      <c r="E379" s="24" t="s">
        <v>12</v>
      </c>
      <c r="F379" s="25">
        <v>0.1</v>
      </c>
      <c r="G379" s="25">
        <v>0.1</v>
      </c>
      <c r="H379" s="25">
        <v>0.1</v>
      </c>
    </row>
    <row r="380" spans="1:8" x14ac:dyDescent="0.2">
      <c r="A380" s="27" t="s">
        <v>13</v>
      </c>
      <c r="B380" s="23" t="s">
        <v>58</v>
      </c>
      <c r="C380" s="23" t="s">
        <v>30</v>
      </c>
      <c r="D380" s="23" t="s">
        <v>95</v>
      </c>
      <c r="E380" s="23" t="s">
        <v>14</v>
      </c>
      <c r="F380" s="25">
        <v>8.9</v>
      </c>
      <c r="G380" s="25">
        <v>9.9</v>
      </c>
      <c r="H380" s="25">
        <v>9.9</v>
      </c>
    </row>
    <row r="381" spans="1:8" ht="63.75" x14ac:dyDescent="0.2">
      <c r="A381" s="10" t="s">
        <v>287</v>
      </c>
      <c r="B381" s="8" t="s">
        <v>58</v>
      </c>
      <c r="C381" s="8" t="s">
        <v>30</v>
      </c>
      <c r="D381" s="8" t="s">
        <v>84</v>
      </c>
      <c r="E381" s="8"/>
      <c r="F381" s="9">
        <f>F383+F382</f>
        <v>26014</v>
      </c>
      <c r="G381" s="9">
        <f t="shared" ref="G381:H381" si="54">G383+G382</f>
        <v>26014</v>
      </c>
      <c r="H381" s="9">
        <f t="shared" si="54"/>
        <v>26014</v>
      </c>
    </row>
    <row r="382" spans="1:8" ht="25.5" x14ac:dyDescent="0.2">
      <c r="A382" s="27" t="s">
        <v>20</v>
      </c>
      <c r="B382" s="23" t="s">
        <v>58</v>
      </c>
      <c r="C382" s="23" t="s">
        <v>30</v>
      </c>
      <c r="D382" s="23" t="s">
        <v>84</v>
      </c>
      <c r="E382" s="24" t="s">
        <v>12</v>
      </c>
      <c r="F382" s="25">
        <f>185.1+72.2</f>
        <v>257.3</v>
      </c>
      <c r="G382" s="25">
        <f>185.1+72.2</f>
        <v>257.3</v>
      </c>
      <c r="H382" s="25">
        <f>185.1+72.2</f>
        <v>257.3</v>
      </c>
    </row>
    <row r="383" spans="1:8" x14ac:dyDescent="0.2">
      <c r="A383" s="27" t="s">
        <v>13</v>
      </c>
      <c r="B383" s="23" t="s">
        <v>58</v>
      </c>
      <c r="C383" s="23" t="s">
        <v>30</v>
      </c>
      <c r="D383" s="23" t="s">
        <v>84</v>
      </c>
      <c r="E383" s="23" t="s">
        <v>14</v>
      </c>
      <c r="F383" s="25">
        <f>24301.7+1455</f>
        <v>25756.7</v>
      </c>
      <c r="G383" s="25">
        <f>24301.7+1455</f>
        <v>25756.7</v>
      </c>
      <c r="H383" s="25">
        <f>24301.7+1455</f>
        <v>25756.7</v>
      </c>
    </row>
    <row r="384" spans="1:8" ht="127.5" x14ac:dyDescent="0.2">
      <c r="A384" s="10" t="s">
        <v>336</v>
      </c>
      <c r="B384" s="8" t="s">
        <v>58</v>
      </c>
      <c r="C384" s="8" t="s">
        <v>30</v>
      </c>
      <c r="D384" s="8" t="s">
        <v>85</v>
      </c>
      <c r="E384" s="8"/>
      <c r="F384" s="9">
        <f>F386+F385</f>
        <v>1612</v>
      </c>
      <c r="G384" s="9">
        <f t="shared" ref="G384:H384" si="55">G386+G385</f>
        <v>1612</v>
      </c>
      <c r="H384" s="9">
        <f t="shared" si="55"/>
        <v>1612</v>
      </c>
    </row>
    <row r="385" spans="1:8" ht="26.25" customHeight="1" x14ac:dyDescent="0.2">
      <c r="A385" s="27" t="s">
        <v>20</v>
      </c>
      <c r="B385" s="23" t="s">
        <v>58</v>
      </c>
      <c r="C385" s="23" t="s">
        <v>30</v>
      </c>
      <c r="D385" s="23" t="s">
        <v>85</v>
      </c>
      <c r="E385" s="24" t="s">
        <v>12</v>
      </c>
      <c r="F385" s="25">
        <f>28+1.6</f>
        <v>29.6</v>
      </c>
      <c r="G385" s="25">
        <f>28+1.6</f>
        <v>29.6</v>
      </c>
      <c r="H385" s="25">
        <f>28+1.6</f>
        <v>29.6</v>
      </c>
    </row>
    <row r="386" spans="1:8" x14ac:dyDescent="0.2">
      <c r="A386" s="27" t="s">
        <v>13</v>
      </c>
      <c r="B386" s="23" t="s">
        <v>58</v>
      </c>
      <c r="C386" s="23" t="s">
        <v>30</v>
      </c>
      <c r="D386" s="23" t="s">
        <v>85</v>
      </c>
      <c r="E386" s="23" t="s">
        <v>14</v>
      </c>
      <c r="F386" s="25">
        <f>1562.4+20</f>
        <v>1582.4</v>
      </c>
      <c r="G386" s="25">
        <f>1562.4+20</f>
        <v>1582.4</v>
      </c>
      <c r="H386" s="25">
        <f>1562.4+20</f>
        <v>1582.4</v>
      </c>
    </row>
    <row r="387" spans="1:8" ht="76.5" x14ac:dyDescent="0.2">
      <c r="A387" s="10" t="s">
        <v>288</v>
      </c>
      <c r="B387" s="8" t="s">
        <v>58</v>
      </c>
      <c r="C387" s="8" t="s">
        <v>30</v>
      </c>
      <c r="D387" s="8" t="s">
        <v>86</v>
      </c>
      <c r="E387" s="8"/>
      <c r="F387" s="9">
        <f>F389+F388</f>
        <v>9182</v>
      </c>
      <c r="G387" s="9">
        <f t="shared" ref="G387:H387" si="56">G389+G388</f>
        <v>9182</v>
      </c>
      <c r="H387" s="9">
        <f t="shared" si="56"/>
        <v>9182</v>
      </c>
    </row>
    <row r="388" spans="1:8" ht="25.5" x14ac:dyDescent="0.2">
      <c r="A388" s="27" t="s">
        <v>20</v>
      </c>
      <c r="B388" s="23" t="s">
        <v>58</v>
      </c>
      <c r="C388" s="23" t="s">
        <v>30</v>
      </c>
      <c r="D388" s="23" t="s">
        <v>86</v>
      </c>
      <c r="E388" s="24" t="s">
        <v>12</v>
      </c>
      <c r="F388" s="25">
        <f>92.5+20.4</f>
        <v>112.9</v>
      </c>
      <c r="G388" s="25">
        <f>92.5+20.4</f>
        <v>112.9</v>
      </c>
      <c r="H388" s="25">
        <f>92.5+20.4</f>
        <v>112.9</v>
      </c>
    </row>
    <row r="389" spans="1:8" x14ac:dyDescent="0.2">
      <c r="A389" s="27" t="s">
        <v>13</v>
      </c>
      <c r="B389" s="23" t="s">
        <v>58</v>
      </c>
      <c r="C389" s="23" t="s">
        <v>30</v>
      </c>
      <c r="D389" s="23" t="s">
        <v>86</v>
      </c>
      <c r="E389" s="23" t="s">
        <v>14</v>
      </c>
      <c r="F389" s="25">
        <f>8903.1+166</f>
        <v>9069.1</v>
      </c>
      <c r="G389" s="25">
        <f>8903.1+166</f>
        <v>9069.1</v>
      </c>
      <c r="H389" s="25">
        <f>8903.1+166</f>
        <v>9069.1</v>
      </c>
    </row>
    <row r="390" spans="1:8" ht="51" x14ac:dyDescent="0.2">
      <c r="A390" s="10" t="s">
        <v>289</v>
      </c>
      <c r="B390" s="8" t="s">
        <v>58</v>
      </c>
      <c r="C390" s="8" t="s">
        <v>30</v>
      </c>
      <c r="D390" s="8" t="s">
        <v>100</v>
      </c>
      <c r="E390" s="8"/>
      <c r="F390" s="9">
        <f>F392+F393+F391</f>
        <v>20403</v>
      </c>
      <c r="G390" s="9">
        <f>G392+G393+G391</f>
        <v>20403</v>
      </c>
      <c r="H390" s="9">
        <f>H392+H393+H391</f>
        <v>20403</v>
      </c>
    </row>
    <row r="391" spans="1:8" ht="25.5" x14ac:dyDescent="0.2">
      <c r="A391" s="27" t="s">
        <v>20</v>
      </c>
      <c r="B391" s="23" t="s">
        <v>58</v>
      </c>
      <c r="C391" s="23" t="s">
        <v>30</v>
      </c>
      <c r="D391" s="23" t="s">
        <v>100</v>
      </c>
      <c r="E391" s="24" t="s">
        <v>12</v>
      </c>
      <c r="F391" s="25">
        <f>1+62.9</f>
        <v>63.9</v>
      </c>
      <c r="G391" s="25">
        <f>1+62.9</f>
        <v>63.9</v>
      </c>
      <c r="H391" s="25">
        <f>1+62.9</f>
        <v>63.9</v>
      </c>
    </row>
    <row r="392" spans="1:8" x14ac:dyDescent="0.2">
      <c r="A392" s="27" t="s">
        <v>13</v>
      </c>
      <c r="B392" s="23" t="s">
        <v>58</v>
      </c>
      <c r="C392" s="23" t="s">
        <v>30</v>
      </c>
      <c r="D392" s="23" t="s">
        <v>100</v>
      </c>
      <c r="E392" s="23" t="s">
        <v>14</v>
      </c>
      <c r="F392" s="25">
        <f>50+12702.6</f>
        <v>12752.6</v>
      </c>
      <c r="G392" s="25">
        <f>50+12702.6</f>
        <v>12752.6</v>
      </c>
      <c r="H392" s="25">
        <f>50+12702.6</f>
        <v>12752.6</v>
      </c>
    </row>
    <row r="393" spans="1:8" ht="25.5" x14ac:dyDescent="0.2">
      <c r="A393" s="27" t="s">
        <v>215</v>
      </c>
      <c r="B393" s="23" t="s">
        <v>58</v>
      </c>
      <c r="C393" s="23" t="s">
        <v>30</v>
      </c>
      <c r="D393" s="23" t="s">
        <v>100</v>
      </c>
      <c r="E393" s="23" t="s">
        <v>8</v>
      </c>
      <c r="F393" s="25">
        <v>7586.5</v>
      </c>
      <c r="G393" s="25">
        <v>7586.5</v>
      </c>
      <c r="H393" s="25">
        <v>7586.5</v>
      </c>
    </row>
    <row r="394" spans="1:8" ht="51" x14ac:dyDescent="0.2">
      <c r="A394" s="10" t="s">
        <v>290</v>
      </c>
      <c r="B394" s="8" t="s">
        <v>58</v>
      </c>
      <c r="C394" s="8" t="s">
        <v>30</v>
      </c>
      <c r="D394" s="8" t="s">
        <v>87</v>
      </c>
      <c r="E394" s="8"/>
      <c r="F394" s="9">
        <f>F396+F395</f>
        <v>460.29999999999995</v>
      </c>
      <c r="G394" s="9">
        <f t="shared" ref="G394:H394" si="57">G396+G395</f>
        <v>460.29999999999995</v>
      </c>
      <c r="H394" s="9">
        <f t="shared" si="57"/>
        <v>460.29999999999995</v>
      </c>
    </row>
    <row r="395" spans="1:8" ht="25.5" x14ac:dyDescent="0.2">
      <c r="A395" s="27" t="s">
        <v>20</v>
      </c>
      <c r="B395" s="23" t="s">
        <v>58</v>
      </c>
      <c r="C395" s="23" t="s">
        <v>30</v>
      </c>
      <c r="D395" s="23" t="s">
        <v>87</v>
      </c>
      <c r="E395" s="24" t="s">
        <v>12</v>
      </c>
      <c r="F395" s="25">
        <f>3.1+1.8</f>
        <v>4.9000000000000004</v>
      </c>
      <c r="G395" s="25">
        <f>3.1+1.8</f>
        <v>4.9000000000000004</v>
      </c>
      <c r="H395" s="25">
        <f>3.1+1.8</f>
        <v>4.9000000000000004</v>
      </c>
    </row>
    <row r="396" spans="1:8" x14ac:dyDescent="0.2">
      <c r="A396" s="27" t="s">
        <v>13</v>
      </c>
      <c r="B396" s="23" t="s">
        <v>58</v>
      </c>
      <c r="C396" s="23" t="s">
        <v>30</v>
      </c>
      <c r="D396" s="23" t="s">
        <v>87</v>
      </c>
      <c r="E396" s="23" t="s">
        <v>14</v>
      </c>
      <c r="F396" s="25">
        <f>445.4+10</f>
        <v>455.4</v>
      </c>
      <c r="G396" s="25">
        <f>445.4+10</f>
        <v>455.4</v>
      </c>
      <c r="H396" s="25">
        <f>445.4+10</f>
        <v>455.4</v>
      </c>
    </row>
    <row r="397" spans="1:8" ht="51" x14ac:dyDescent="0.2">
      <c r="A397" s="10" t="s">
        <v>337</v>
      </c>
      <c r="B397" s="8" t="s">
        <v>58</v>
      </c>
      <c r="C397" s="8" t="s">
        <v>30</v>
      </c>
      <c r="D397" s="8" t="s">
        <v>103</v>
      </c>
      <c r="E397" s="8"/>
      <c r="F397" s="9">
        <f>F399+F398</f>
        <v>10.299999999999999</v>
      </c>
      <c r="G397" s="9">
        <f>G399+G398</f>
        <v>10.299999999999999</v>
      </c>
      <c r="H397" s="9">
        <f>H399+H398</f>
        <v>10.299999999999999</v>
      </c>
    </row>
    <row r="398" spans="1:8" ht="25.5" x14ac:dyDescent="0.2">
      <c r="A398" s="27" t="s">
        <v>20</v>
      </c>
      <c r="B398" s="23" t="s">
        <v>58</v>
      </c>
      <c r="C398" s="23" t="s">
        <v>30</v>
      </c>
      <c r="D398" s="23" t="s">
        <v>103</v>
      </c>
      <c r="E398" s="24" t="s">
        <v>12</v>
      </c>
      <c r="F398" s="25">
        <v>0.1</v>
      </c>
      <c r="G398" s="25">
        <v>0.1</v>
      </c>
      <c r="H398" s="25">
        <v>0.1</v>
      </c>
    </row>
    <row r="399" spans="1:8" x14ac:dyDescent="0.2">
      <c r="A399" s="27" t="s">
        <v>13</v>
      </c>
      <c r="B399" s="23" t="s">
        <v>58</v>
      </c>
      <c r="C399" s="23" t="s">
        <v>30</v>
      </c>
      <c r="D399" s="23" t="s">
        <v>103</v>
      </c>
      <c r="E399" s="23" t="s">
        <v>14</v>
      </c>
      <c r="F399" s="25">
        <v>10.199999999999999</v>
      </c>
      <c r="G399" s="25">
        <v>10.199999999999999</v>
      </c>
      <c r="H399" s="25">
        <v>10.199999999999999</v>
      </c>
    </row>
    <row r="400" spans="1:8" ht="51" x14ac:dyDescent="0.2">
      <c r="A400" s="10" t="s">
        <v>291</v>
      </c>
      <c r="B400" s="8" t="s">
        <v>58</v>
      </c>
      <c r="C400" s="8" t="s">
        <v>30</v>
      </c>
      <c r="D400" s="8" t="s">
        <v>88</v>
      </c>
      <c r="E400" s="8"/>
      <c r="F400" s="9">
        <f>F402+F401</f>
        <v>525.9</v>
      </c>
      <c r="G400" s="9">
        <f t="shared" ref="G400:H400" si="58">G402+G401</f>
        <v>525.9</v>
      </c>
      <c r="H400" s="9">
        <f t="shared" si="58"/>
        <v>525.9</v>
      </c>
    </row>
    <row r="401" spans="1:8" ht="25.5" x14ac:dyDescent="0.2">
      <c r="A401" s="27" t="s">
        <v>20</v>
      </c>
      <c r="B401" s="23" t="s">
        <v>58</v>
      </c>
      <c r="C401" s="23" t="s">
        <v>30</v>
      </c>
      <c r="D401" s="23" t="s">
        <v>88</v>
      </c>
      <c r="E401" s="24" t="s">
        <v>12</v>
      </c>
      <c r="F401" s="25">
        <f>7+1.5</f>
        <v>8.5</v>
      </c>
      <c r="G401" s="25">
        <f>7+1.5</f>
        <v>8.5</v>
      </c>
      <c r="H401" s="25">
        <f>7+1.5</f>
        <v>8.5</v>
      </c>
    </row>
    <row r="402" spans="1:8" x14ac:dyDescent="0.2">
      <c r="A402" s="27" t="s">
        <v>13</v>
      </c>
      <c r="B402" s="23" t="s">
        <v>58</v>
      </c>
      <c r="C402" s="23" t="s">
        <v>30</v>
      </c>
      <c r="D402" s="23" t="s">
        <v>88</v>
      </c>
      <c r="E402" s="23" t="s">
        <v>14</v>
      </c>
      <c r="F402" s="25">
        <f>477.4+40</f>
        <v>517.4</v>
      </c>
      <c r="G402" s="25">
        <f>477.4+40</f>
        <v>517.4</v>
      </c>
      <c r="H402" s="25">
        <f>477.4+40</f>
        <v>517.4</v>
      </c>
    </row>
    <row r="403" spans="1:8" ht="25.5" x14ac:dyDescent="0.2">
      <c r="A403" s="10" t="s">
        <v>292</v>
      </c>
      <c r="B403" s="8" t="s">
        <v>58</v>
      </c>
      <c r="C403" s="8" t="s">
        <v>30</v>
      </c>
      <c r="D403" s="8" t="s">
        <v>98</v>
      </c>
      <c r="E403" s="8"/>
      <c r="F403" s="9">
        <f>F405+F404</f>
        <v>87047</v>
      </c>
      <c r="G403" s="9">
        <f>G405+G404</f>
        <v>93047</v>
      </c>
      <c r="H403" s="9">
        <f>H405+H404</f>
        <v>93047</v>
      </c>
    </row>
    <row r="404" spans="1:8" ht="25.5" x14ac:dyDescent="0.2">
      <c r="A404" s="27" t="s">
        <v>20</v>
      </c>
      <c r="B404" s="23" t="s">
        <v>58</v>
      </c>
      <c r="C404" s="23" t="s">
        <v>30</v>
      </c>
      <c r="D404" s="23" t="s">
        <v>98</v>
      </c>
      <c r="E404" s="24" t="s">
        <v>12</v>
      </c>
      <c r="F404" s="25">
        <f>56+480</f>
        <v>536</v>
      </c>
      <c r="G404" s="25">
        <v>560</v>
      </c>
      <c r="H404" s="25">
        <v>560</v>
      </c>
    </row>
    <row r="405" spans="1:8" x14ac:dyDescent="0.2">
      <c r="A405" s="27" t="s">
        <v>13</v>
      </c>
      <c r="B405" s="23" t="s">
        <v>58</v>
      </c>
      <c r="C405" s="23" t="s">
        <v>30</v>
      </c>
      <c r="D405" s="23" t="s">
        <v>98</v>
      </c>
      <c r="E405" s="23" t="s">
        <v>14</v>
      </c>
      <c r="F405" s="25">
        <v>86511</v>
      </c>
      <c r="G405" s="25">
        <v>92487</v>
      </c>
      <c r="H405" s="25">
        <v>92487</v>
      </c>
    </row>
    <row r="406" spans="1:8" ht="114.75" x14ac:dyDescent="0.2">
      <c r="A406" s="10" t="s">
        <v>338</v>
      </c>
      <c r="B406" s="8" t="s">
        <v>58</v>
      </c>
      <c r="C406" s="8" t="s">
        <v>30</v>
      </c>
      <c r="D406" s="8" t="s">
        <v>104</v>
      </c>
      <c r="E406" s="8"/>
      <c r="F406" s="9">
        <f>F407</f>
        <v>1.2</v>
      </c>
      <c r="G406" s="9">
        <f>G407</f>
        <v>1.2</v>
      </c>
      <c r="H406" s="9">
        <f>H407</f>
        <v>1.2</v>
      </c>
    </row>
    <row r="407" spans="1:8" x14ac:dyDescent="0.2">
      <c r="A407" s="59" t="s">
        <v>13</v>
      </c>
      <c r="B407" s="23" t="s">
        <v>58</v>
      </c>
      <c r="C407" s="23" t="s">
        <v>30</v>
      </c>
      <c r="D407" s="23" t="s">
        <v>104</v>
      </c>
      <c r="E407" s="23" t="s">
        <v>14</v>
      </c>
      <c r="F407" s="25">
        <v>1.2</v>
      </c>
      <c r="G407" s="25">
        <v>1.2</v>
      </c>
      <c r="H407" s="25">
        <v>1.2</v>
      </c>
    </row>
    <row r="408" spans="1:8" ht="51" x14ac:dyDescent="0.2">
      <c r="A408" s="10" t="s">
        <v>294</v>
      </c>
      <c r="B408" s="8" t="s">
        <v>58</v>
      </c>
      <c r="C408" s="8" t="s">
        <v>30</v>
      </c>
      <c r="D408" s="8" t="s">
        <v>101</v>
      </c>
      <c r="E408" s="8"/>
      <c r="F408" s="9">
        <f>F410+F409</f>
        <v>3136</v>
      </c>
      <c r="G408" s="9">
        <f>G410+G409</f>
        <v>3136</v>
      </c>
      <c r="H408" s="9">
        <f>H410+H409</f>
        <v>3136</v>
      </c>
    </row>
    <row r="409" spans="1:8" ht="25.5" x14ac:dyDescent="0.2">
      <c r="A409" s="27" t="s">
        <v>20</v>
      </c>
      <c r="B409" s="23" t="s">
        <v>58</v>
      </c>
      <c r="C409" s="23" t="s">
        <v>30</v>
      </c>
      <c r="D409" s="23" t="s">
        <v>101</v>
      </c>
      <c r="E409" s="24" t="s">
        <v>12</v>
      </c>
      <c r="F409" s="25">
        <v>2</v>
      </c>
      <c r="G409" s="25">
        <v>2</v>
      </c>
      <c r="H409" s="25">
        <v>2</v>
      </c>
    </row>
    <row r="410" spans="1:8" x14ac:dyDescent="0.2">
      <c r="A410" s="27" t="s">
        <v>13</v>
      </c>
      <c r="B410" s="23" t="s">
        <v>58</v>
      </c>
      <c r="C410" s="23" t="s">
        <v>30</v>
      </c>
      <c r="D410" s="23" t="s">
        <v>101</v>
      </c>
      <c r="E410" s="23" t="s">
        <v>14</v>
      </c>
      <c r="F410" s="25">
        <v>3134</v>
      </c>
      <c r="G410" s="25">
        <v>3134</v>
      </c>
      <c r="H410" s="25">
        <v>3134</v>
      </c>
    </row>
    <row r="411" spans="1:8" ht="38.25" x14ac:dyDescent="0.2">
      <c r="A411" s="10" t="s">
        <v>339</v>
      </c>
      <c r="B411" s="8" t="s">
        <v>58</v>
      </c>
      <c r="C411" s="8" t="s">
        <v>30</v>
      </c>
      <c r="D411" s="8" t="s">
        <v>107</v>
      </c>
      <c r="E411" s="8"/>
      <c r="F411" s="9">
        <f>F413+F412</f>
        <v>21361</v>
      </c>
      <c r="G411" s="9">
        <f>G413+G412</f>
        <v>21361</v>
      </c>
      <c r="H411" s="9">
        <f>H413+H412</f>
        <v>21361</v>
      </c>
    </row>
    <row r="412" spans="1:8" ht="25.5" x14ac:dyDescent="0.2">
      <c r="A412" s="27" t="s">
        <v>20</v>
      </c>
      <c r="B412" s="23" t="s">
        <v>58</v>
      </c>
      <c r="C412" s="23" t="s">
        <v>30</v>
      </c>
      <c r="D412" s="23" t="s">
        <v>107</v>
      </c>
      <c r="E412" s="24" t="s">
        <v>12</v>
      </c>
      <c r="F412" s="25">
        <f>255+45</f>
        <v>300</v>
      </c>
      <c r="G412" s="25">
        <f t="shared" ref="G412:H412" si="59">255+45</f>
        <v>300</v>
      </c>
      <c r="H412" s="25">
        <f t="shared" si="59"/>
        <v>300</v>
      </c>
    </row>
    <row r="413" spans="1:8" x14ac:dyDescent="0.2">
      <c r="A413" s="27" t="s">
        <v>13</v>
      </c>
      <c r="B413" s="23" t="s">
        <v>58</v>
      </c>
      <c r="C413" s="23" t="s">
        <v>30</v>
      </c>
      <c r="D413" s="23" t="s">
        <v>107</v>
      </c>
      <c r="E413" s="23" t="s">
        <v>14</v>
      </c>
      <c r="F413" s="25">
        <v>21061</v>
      </c>
      <c r="G413" s="25">
        <v>21061</v>
      </c>
      <c r="H413" s="25">
        <v>21061</v>
      </c>
    </row>
    <row r="414" spans="1:8" ht="51" x14ac:dyDescent="0.2">
      <c r="A414" s="10" t="s">
        <v>295</v>
      </c>
      <c r="B414" s="8" t="s">
        <v>58</v>
      </c>
      <c r="C414" s="8" t="s">
        <v>30</v>
      </c>
      <c r="D414" s="8" t="s">
        <v>102</v>
      </c>
      <c r="E414" s="8"/>
      <c r="F414" s="9">
        <f>F416+F415</f>
        <v>95</v>
      </c>
      <c r="G414" s="9">
        <f>G416+G415</f>
        <v>95</v>
      </c>
      <c r="H414" s="9">
        <f>H416+H415</f>
        <v>95</v>
      </c>
    </row>
    <row r="415" spans="1:8" ht="25.5" x14ac:dyDescent="0.2">
      <c r="A415" s="27" t="s">
        <v>20</v>
      </c>
      <c r="B415" s="23" t="s">
        <v>58</v>
      </c>
      <c r="C415" s="23" t="s">
        <v>30</v>
      </c>
      <c r="D415" s="23" t="s">
        <v>102</v>
      </c>
      <c r="E415" s="24" t="s">
        <v>12</v>
      </c>
      <c r="F415" s="25">
        <v>1.5</v>
      </c>
      <c r="G415" s="25">
        <v>1.5</v>
      </c>
      <c r="H415" s="25">
        <v>1.5</v>
      </c>
    </row>
    <row r="416" spans="1:8" x14ac:dyDescent="0.2">
      <c r="A416" s="27" t="s">
        <v>13</v>
      </c>
      <c r="B416" s="23" t="s">
        <v>58</v>
      </c>
      <c r="C416" s="23" t="s">
        <v>30</v>
      </c>
      <c r="D416" s="23" t="s">
        <v>102</v>
      </c>
      <c r="E416" s="23" t="s">
        <v>14</v>
      </c>
      <c r="F416" s="25">
        <v>93.5</v>
      </c>
      <c r="G416" s="25">
        <v>93.5</v>
      </c>
      <c r="H416" s="25">
        <v>93.5</v>
      </c>
    </row>
    <row r="417" spans="1:8" ht="63.75" x14ac:dyDescent="0.2">
      <c r="A417" s="10" t="s">
        <v>296</v>
      </c>
      <c r="B417" s="8" t="s">
        <v>58</v>
      </c>
      <c r="C417" s="8" t="s">
        <v>30</v>
      </c>
      <c r="D417" s="8" t="s">
        <v>105</v>
      </c>
      <c r="E417" s="8"/>
      <c r="F417" s="9">
        <f>F419+F418</f>
        <v>1153</v>
      </c>
      <c r="G417" s="9">
        <f>G419+G418</f>
        <v>1153</v>
      </c>
      <c r="H417" s="9">
        <f>H419+H418</f>
        <v>1153</v>
      </c>
    </row>
    <row r="418" spans="1:8" ht="25.5" x14ac:dyDescent="0.2">
      <c r="A418" s="27" t="s">
        <v>20</v>
      </c>
      <c r="B418" s="23" t="s">
        <v>58</v>
      </c>
      <c r="C418" s="23" t="s">
        <v>30</v>
      </c>
      <c r="D418" s="23" t="s">
        <v>105</v>
      </c>
      <c r="E418" s="24" t="s">
        <v>12</v>
      </c>
      <c r="F418" s="25">
        <f>5.5+1</f>
        <v>6.5</v>
      </c>
      <c r="G418" s="25">
        <f>5.5+1</f>
        <v>6.5</v>
      </c>
      <c r="H418" s="25">
        <f>5.5+1</f>
        <v>6.5</v>
      </c>
    </row>
    <row r="419" spans="1:8" x14ac:dyDescent="0.2">
      <c r="A419" s="27" t="s">
        <v>13</v>
      </c>
      <c r="B419" s="23" t="s">
        <v>58</v>
      </c>
      <c r="C419" s="23" t="s">
        <v>30</v>
      </c>
      <c r="D419" s="23" t="s">
        <v>105</v>
      </c>
      <c r="E419" s="23" t="s">
        <v>14</v>
      </c>
      <c r="F419" s="25">
        <f>930.5+216</f>
        <v>1146.5</v>
      </c>
      <c r="G419" s="25">
        <f>930.5+216</f>
        <v>1146.5</v>
      </c>
      <c r="H419" s="25">
        <f>930.5+216</f>
        <v>1146.5</v>
      </c>
    </row>
    <row r="420" spans="1:8" ht="38.25" x14ac:dyDescent="0.2">
      <c r="A420" s="10" t="s">
        <v>297</v>
      </c>
      <c r="B420" s="8" t="s">
        <v>58</v>
      </c>
      <c r="C420" s="8" t="s">
        <v>30</v>
      </c>
      <c r="D420" s="8" t="s">
        <v>106</v>
      </c>
      <c r="E420" s="8"/>
      <c r="F420" s="9">
        <f>F422+F421</f>
        <v>318</v>
      </c>
      <c r="G420" s="9">
        <f>G422+G421</f>
        <v>318</v>
      </c>
      <c r="H420" s="9">
        <f>H422+H421</f>
        <v>318</v>
      </c>
    </row>
    <row r="421" spans="1:8" ht="25.5" x14ac:dyDescent="0.2">
      <c r="A421" s="27" t="s">
        <v>20</v>
      </c>
      <c r="B421" s="23" t="s">
        <v>58</v>
      </c>
      <c r="C421" s="23" t="s">
        <v>30</v>
      </c>
      <c r="D421" s="23" t="s">
        <v>106</v>
      </c>
      <c r="E421" s="24" t="s">
        <v>12</v>
      </c>
      <c r="F421" s="25">
        <v>6.4</v>
      </c>
      <c r="G421" s="25">
        <v>6.4</v>
      </c>
      <c r="H421" s="25">
        <v>6.4</v>
      </c>
    </row>
    <row r="422" spans="1:8" x14ac:dyDescent="0.2">
      <c r="A422" s="27" t="s">
        <v>13</v>
      </c>
      <c r="B422" s="23" t="s">
        <v>58</v>
      </c>
      <c r="C422" s="23" t="s">
        <v>30</v>
      </c>
      <c r="D422" s="23" t="s">
        <v>106</v>
      </c>
      <c r="E422" s="23" t="s">
        <v>14</v>
      </c>
      <c r="F422" s="25">
        <v>311.60000000000002</v>
      </c>
      <c r="G422" s="25">
        <v>311.60000000000002</v>
      </c>
      <c r="H422" s="25">
        <v>311.60000000000002</v>
      </c>
    </row>
    <row r="423" spans="1:8" ht="89.25" x14ac:dyDescent="0.2">
      <c r="A423" s="10" t="s">
        <v>341</v>
      </c>
      <c r="B423" s="8" t="s">
        <v>58</v>
      </c>
      <c r="C423" s="8" t="s">
        <v>30</v>
      </c>
      <c r="D423" s="8" t="s">
        <v>108</v>
      </c>
      <c r="E423" s="8"/>
      <c r="F423" s="9">
        <f>F425+F424</f>
        <v>92351</v>
      </c>
      <c r="G423" s="9">
        <f>G425+G424</f>
        <v>92351</v>
      </c>
      <c r="H423" s="9">
        <f>H425+H424</f>
        <v>92351</v>
      </c>
    </row>
    <row r="424" spans="1:8" ht="25.5" x14ac:dyDescent="0.2">
      <c r="A424" s="27" t="s">
        <v>20</v>
      </c>
      <c r="B424" s="23" t="s">
        <v>58</v>
      </c>
      <c r="C424" s="23" t="s">
        <v>30</v>
      </c>
      <c r="D424" s="23" t="s">
        <v>108</v>
      </c>
      <c r="E424" s="24" t="s">
        <v>12</v>
      </c>
      <c r="F424" s="25">
        <f>317+175+110+34+55+23+127+50+1+1.2</f>
        <v>893.2</v>
      </c>
      <c r="G424" s="25">
        <f>317+175+110+34+55+23+127+50+1+1.2</f>
        <v>893.2</v>
      </c>
      <c r="H424" s="25">
        <f>317+175+110+34+55+23+127+50+1+1.2</f>
        <v>893.2</v>
      </c>
    </row>
    <row r="425" spans="1:8" x14ac:dyDescent="0.2">
      <c r="A425" s="27" t="s">
        <v>13</v>
      </c>
      <c r="B425" s="23" t="s">
        <v>58</v>
      </c>
      <c r="C425" s="23" t="s">
        <v>30</v>
      </c>
      <c r="D425" s="23" t="s">
        <v>108</v>
      </c>
      <c r="E425" s="23" t="s">
        <v>14</v>
      </c>
      <c r="F425" s="25">
        <f>54147+12800+7500+16800.8+210</f>
        <v>91457.8</v>
      </c>
      <c r="G425" s="25">
        <f>54147+12800+7500+16800.8+210</f>
        <v>91457.8</v>
      </c>
      <c r="H425" s="25">
        <f>54147+12800+7500+16800.8+210</f>
        <v>91457.8</v>
      </c>
    </row>
    <row r="426" spans="1:8" ht="56.25" customHeight="1" x14ac:dyDescent="0.2">
      <c r="A426" s="10" t="s">
        <v>298</v>
      </c>
      <c r="B426" s="8" t="s">
        <v>58</v>
      </c>
      <c r="C426" s="8" t="s">
        <v>30</v>
      </c>
      <c r="D426" s="8" t="s">
        <v>83</v>
      </c>
      <c r="E426" s="8"/>
      <c r="F426" s="9">
        <f>F429+F427+F428</f>
        <v>1152</v>
      </c>
      <c r="G426" s="9">
        <f t="shared" ref="G426:H426" si="60">G429+G427+G428</f>
        <v>1152</v>
      </c>
      <c r="H426" s="9">
        <f t="shared" si="60"/>
        <v>1152</v>
      </c>
    </row>
    <row r="427" spans="1:8" ht="25.5" x14ac:dyDescent="0.2">
      <c r="A427" s="27" t="s">
        <v>20</v>
      </c>
      <c r="B427" s="23" t="s">
        <v>58</v>
      </c>
      <c r="C427" s="23" t="s">
        <v>30</v>
      </c>
      <c r="D427" s="23" t="s">
        <v>83</v>
      </c>
      <c r="E427" s="24" t="s">
        <v>12</v>
      </c>
      <c r="F427" s="25">
        <v>19</v>
      </c>
      <c r="G427" s="25">
        <v>19</v>
      </c>
      <c r="H427" s="25">
        <v>19</v>
      </c>
    </row>
    <row r="428" spans="1:8" x14ac:dyDescent="0.2">
      <c r="A428" s="27" t="s">
        <v>13</v>
      </c>
      <c r="B428" s="23" t="s">
        <v>58</v>
      </c>
      <c r="C428" s="23" t="s">
        <v>30</v>
      </c>
      <c r="D428" s="23" t="s">
        <v>83</v>
      </c>
      <c r="E428" s="23" t="s">
        <v>14</v>
      </c>
      <c r="F428" s="25">
        <f>175+958-175</f>
        <v>958</v>
      </c>
      <c r="G428" s="25">
        <f t="shared" ref="G428:H428" si="61">175+958-175</f>
        <v>958</v>
      </c>
      <c r="H428" s="25">
        <f t="shared" si="61"/>
        <v>958</v>
      </c>
    </row>
    <row r="429" spans="1:8" x14ac:dyDescent="0.2">
      <c r="A429" s="27" t="s">
        <v>16</v>
      </c>
      <c r="B429" s="23" t="s">
        <v>58</v>
      </c>
      <c r="C429" s="23" t="s">
        <v>30</v>
      </c>
      <c r="D429" s="23" t="s">
        <v>83</v>
      </c>
      <c r="E429" s="23" t="s">
        <v>17</v>
      </c>
      <c r="F429" s="25">
        <v>175</v>
      </c>
      <c r="G429" s="25">
        <v>175</v>
      </c>
      <c r="H429" s="25">
        <v>175</v>
      </c>
    </row>
    <row r="430" spans="1:8" x14ac:dyDescent="0.2">
      <c r="A430" s="14" t="s">
        <v>69</v>
      </c>
      <c r="B430" s="11" t="s">
        <v>58</v>
      </c>
      <c r="C430" s="11" t="s">
        <v>32</v>
      </c>
      <c r="D430" s="11"/>
      <c r="E430" s="11"/>
      <c r="F430" s="12">
        <f>F431+F435+F437+F443+F448+F441+F455+F445+F433+F453+F450</f>
        <v>219714.2</v>
      </c>
      <c r="G430" s="12">
        <f t="shared" ref="G430:H430" si="62">G431+G435+G437+G443+G448+G441+G455+G445+G433+G453+G450</f>
        <v>197794.5</v>
      </c>
      <c r="H430" s="12">
        <f t="shared" si="62"/>
        <v>203184.19999999998</v>
      </c>
    </row>
    <row r="431" spans="1:8" ht="38.25" x14ac:dyDescent="0.2">
      <c r="A431" s="10" t="s">
        <v>299</v>
      </c>
      <c r="B431" s="8" t="s">
        <v>58</v>
      </c>
      <c r="C431" s="6" t="s">
        <v>32</v>
      </c>
      <c r="D431" s="8" t="s">
        <v>124</v>
      </c>
      <c r="E431" s="8"/>
      <c r="F431" s="9">
        <f>F432</f>
        <v>26293.5</v>
      </c>
      <c r="G431" s="9">
        <f>G432</f>
        <v>27404.7</v>
      </c>
      <c r="H431" s="9">
        <f>H432</f>
        <v>28500.799999999999</v>
      </c>
    </row>
    <row r="432" spans="1:8" ht="25.5" x14ac:dyDescent="0.2">
      <c r="A432" s="27" t="s">
        <v>74</v>
      </c>
      <c r="B432" s="23" t="s">
        <v>58</v>
      </c>
      <c r="C432" s="23" t="s">
        <v>32</v>
      </c>
      <c r="D432" s="8" t="s">
        <v>124</v>
      </c>
      <c r="E432" s="23" t="s">
        <v>15</v>
      </c>
      <c r="F432" s="25">
        <f>26434-140.5</f>
        <v>26293.5</v>
      </c>
      <c r="G432" s="25">
        <f>27564-159.3</f>
        <v>27404.7</v>
      </c>
      <c r="H432" s="25">
        <f>28666.6-165.8</f>
        <v>28500.799999999999</v>
      </c>
    </row>
    <row r="433" spans="1:8" ht="38.25" x14ac:dyDescent="0.2">
      <c r="A433" s="10" t="s">
        <v>299</v>
      </c>
      <c r="B433" s="8" t="s">
        <v>58</v>
      </c>
      <c r="C433" s="6" t="s">
        <v>32</v>
      </c>
      <c r="D433" s="8" t="s">
        <v>361</v>
      </c>
      <c r="E433" s="8"/>
      <c r="F433" s="9">
        <f>F434</f>
        <v>14599.699999999999</v>
      </c>
      <c r="G433" s="9">
        <f>G434</f>
        <v>11686.800000000001</v>
      </c>
      <c r="H433" s="9">
        <f>H434</f>
        <v>11500.4</v>
      </c>
    </row>
    <row r="434" spans="1:8" ht="25.5" x14ac:dyDescent="0.2">
      <c r="A434" s="27" t="s">
        <v>74</v>
      </c>
      <c r="B434" s="23" t="s">
        <v>58</v>
      </c>
      <c r="C434" s="23" t="s">
        <v>32</v>
      </c>
      <c r="D434" s="8" t="s">
        <v>361</v>
      </c>
      <c r="E434" s="23" t="s">
        <v>15</v>
      </c>
      <c r="F434" s="25">
        <f>11851.8+23.9+2724</f>
        <v>14599.699999999999</v>
      </c>
      <c r="G434" s="25">
        <f>11659.7+27.1</f>
        <v>11686.800000000001</v>
      </c>
      <c r="H434" s="25">
        <f>11472.3+28.1</f>
        <v>11500.4</v>
      </c>
    </row>
    <row r="435" spans="1:8" ht="25.5" x14ac:dyDescent="0.2">
      <c r="A435" s="10" t="s">
        <v>300</v>
      </c>
      <c r="B435" s="8" t="s">
        <v>58</v>
      </c>
      <c r="C435" s="8" t="s">
        <v>32</v>
      </c>
      <c r="D435" s="8" t="s">
        <v>122</v>
      </c>
      <c r="E435" s="8"/>
      <c r="F435" s="9">
        <f>F436</f>
        <v>1200</v>
      </c>
      <c r="G435" s="9">
        <f t="shared" ref="G435:H435" si="63">G436</f>
        <v>1288</v>
      </c>
      <c r="H435" s="9">
        <f t="shared" si="63"/>
        <v>1000</v>
      </c>
    </row>
    <row r="436" spans="1:8" x14ac:dyDescent="0.2">
      <c r="A436" s="27" t="s">
        <v>13</v>
      </c>
      <c r="B436" s="23" t="s">
        <v>58</v>
      </c>
      <c r="C436" s="23" t="s">
        <v>32</v>
      </c>
      <c r="D436" s="23" t="s">
        <v>122</v>
      </c>
      <c r="E436" s="23" t="s">
        <v>14</v>
      </c>
      <c r="F436" s="25">
        <v>1200</v>
      </c>
      <c r="G436" s="25">
        <v>1288</v>
      </c>
      <c r="H436" s="25">
        <v>1000</v>
      </c>
    </row>
    <row r="437" spans="1:8" ht="38.25" x14ac:dyDescent="0.2">
      <c r="A437" s="10" t="s">
        <v>301</v>
      </c>
      <c r="B437" s="8" t="s">
        <v>58</v>
      </c>
      <c r="C437" s="8" t="s">
        <v>32</v>
      </c>
      <c r="D437" s="8" t="s">
        <v>120</v>
      </c>
      <c r="E437" s="8"/>
      <c r="F437" s="9">
        <f>F439+F440+F438</f>
        <v>3754</v>
      </c>
      <c r="G437" s="9">
        <f>G439+G440+G438</f>
        <v>3754</v>
      </c>
      <c r="H437" s="9">
        <f>H439+H440+H438</f>
        <v>3754</v>
      </c>
    </row>
    <row r="438" spans="1:8" ht="25.5" x14ac:dyDescent="0.2">
      <c r="A438" s="27" t="s">
        <v>20</v>
      </c>
      <c r="B438" s="23" t="s">
        <v>58</v>
      </c>
      <c r="C438" s="23" t="s">
        <v>32</v>
      </c>
      <c r="D438" s="23" t="s">
        <v>120</v>
      </c>
      <c r="E438" s="24" t="s">
        <v>12</v>
      </c>
      <c r="F438" s="25">
        <f>3.2+0.7</f>
        <v>3.9000000000000004</v>
      </c>
      <c r="G438" s="25">
        <v>3.2</v>
      </c>
      <c r="H438" s="25">
        <v>3.2</v>
      </c>
    </row>
    <row r="439" spans="1:8" x14ac:dyDescent="0.2">
      <c r="A439" s="59" t="s">
        <v>13</v>
      </c>
      <c r="B439" s="23" t="s">
        <v>58</v>
      </c>
      <c r="C439" s="23" t="s">
        <v>32</v>
      </c>
      <c r="D439" s="23" t="s">
        <v>120</v>
      </c>
      <c r="E439" s="28">
        <v>300</v>
      </c>
      <c r="F439" s="25">
        <f>320+74.7</f>
        <v>394.7</v>
      </c>
      <c r="G439" s="25">
        <v>320</v>
      </c>
      <c r="H439" s="25">
        <v>320</v>
      </c>
    </row>
    <row r="440" spans="1:8" ht="25.5" x14ac:dyDescent="0.2">
      <c r="A440" s="27" t="s">
        <v>215</v>
      </c>
      <c r="B440" s="23" t="s">
        <v>58</v>
      </c>
      <c r="C440" s="23" t="s">
        <v>32</v>
      </c>
      <c r="D440" s="23" t="s">
        <v>120</v>
      </c>
      <c r="E440" s="23" t="s">
        <v>8</v>
      </c>
      <c r="F440" s="25">
        <f>31+3066.5+3.3+330-75.4</f>
        <v>3355.4</v>
      </c>
      <c r="G440" s="25">
        <f>31+3066.5+3.3+330</f>
        <v>3430.8</v>
      </c>
      <c r="H440" s="25">
        <f>31+3066.5+3.3+330</f>
        <v>3430.8</v>
      </c>
    </row>
    <row r="441" spans="1:8" ht="102" x14ac:dyDescent="0.2">
      <c r="A441" s="58" t="s">
        <v>369</v>
      </c>
      <c r="B441" s="8" t="s">
        <v>58</v>
      </c>
      <c r="C441" s="8" t="s">
        <v>32</v>
      </c>
      <c r="D441" s="8" t="s">
        <v>121</v>
      </c>
      <c r="E441" s="8"/>
      <c r="F441" s="9">
        <f>F442</f>
        <v>35842</v>
      </c>
      <c r="G441" s="9">
        <f t="shared" ref="G441:H441" si="64">G442</f>
        <v>35842</v>
      </c>
      <c r="H441" s="9">
        <f t="shared" si="64"/>
        <v>35842</v>
      </c>
    </row>
    <row r="442" spans="1:8" x14ac:dyDescent="0.2">
      <c r="A442" s="27" t="s">
        <v>13</v>
      </c>
      <c r="B442" s="23" t="s">
        <v>58</v>
      </c>
      <c r="C442" s="23" t="s">
        <v>32</v>
      </c>
      <c r="D442" s="23" t="s">
        <v>121</v>
      </c>
      <c r="E442" s="23" t="s">
        <v>14</v>
      </c>
      <c r="F442" s="25">
        <v>35842</v>
      </c>
      <c r="G442" s="25">
        <v>35842</v>
      </c>
      <c r="H442" s="25">
        <v>35842</v>
      </c>
    </row>
    <row r="443" spans="1:8" ht="76.5" x14ac:dyDescent="0.2">
      <c r="A443" s="10" t="s">
        <v>331</v>
      </c>
      <c r="B443" s="8" t="s">
        <v>58</v>
      </c>
      <c r="C443" s="8" t="s">
        <v>32</v>
      </c>
      <c r="D443" s="8" t="s">
        <v>93</v>
      </c>
      <c r="E443" s="8"/>
      <c r="F443" s="9">
        <f>F444</f>
        <v>982</v>
      </c>
      <c r="G443" s="9">
        <f>G444</f>
        <v>1534</v>
      </c>
      <c r="H443" s="9">
        <f>H444</f>
        <v>1595</v>
      </c>
    </row>
    <row r="444" spans="1:8" x14ac:dyDescent="0.2">
      <c r="A444" s="27" t="s">
        <v>13</v>
      </c>
      <c r="B444" s="23" t="s">
        <v>58</v>
      </c>
      <c r="C444" s="23" t="s">
        <v>32</v>
      </c>
      <c r="D444" s="23" t="s">
        <v>93</v>
      </c>
      <c r="E444" s="23" t="s">
        <v>14</v>
      </c>
      <c r="F444" s="25">
        <f>1482-350-150</f>
        <v>982</v>
      </c>
      <c r="G444" s="25">
        <v>1534</v>
      </c>
      <c r="H444" s="25">
        <v>1595</v>
      </c>
    </row>
    <row r="445" spans="1:8" ht="89.25" x14ac:dyDescent="0.2">
      <c r="A445" s="10" t="s">
        <v>302</v>
      </c>
      <c r="B445" s="8" t="s">
        <v>58</v>
      </c>
      <c r="C445" s="8" t="s">
        <v>32</v>
      </c>
      <c r="D445" s="8" t="s">
        <v>97</v>
      </c>
      <c r="E445" s="8"/>
      <c r="F445" s="9">
        <f>F447+F446</f>
        <v>55542</v>
      </c>
      <c r="G445" s="9">
        <f>G447+G446</f>
        <v>57742</v>
      </c>
      <c r="H445" s="9">
        <f>H447+H446</f>
        <v>60051</v>
      </c>
    </row>
    <row r="446" spans="1:8" ht="25.5" x14ac:dyDescent="0.2">
      <c r="A446" s="27" t="s">
        <v>20</v>
      </c>
      <c r="B446" s="23" t="s">
        <v>58</v>
      </c>
      <c r="C446" s="23" t="s">
        <v>32</v>
      </c>
      <c r="D446" s="8" t="s">
        <v>97</v>
      </c>
      <c r="E446" s="24" t="s">
        <v>12</v>
      </c>
      <c r="F446" s="25">
        <v>1</v>
      </c>
      <c r="G446" s="25">
        <v>1</v>
      </c>
      <c r="H446" s="25">
        <v>1</v>
      </c>
    </row>
    <row r="447" spans="1:8" x14ac:dyDescent="0.2">
      <c r="A447" s="27" t="s">
        <v>13</v>
      </c>
      <c r="B447" s="23" t="s">
        <v>58</v>
      </c>
      <c r="C447" s="23" t="s">
        <v>32</v>
      </c>
      <c r="D447" s="8" t="s">
        <v>97</v>
      </c>
      <c r="E447" s="23" t="s">
        <v>14</v>
      </c>
      <c r="F447" s="25">
        <f>55852-311</f>
        <v>55541</v>
      </c>
      <c r="G447" s="25">
        <f>58077-336</f>
        <v>57741</v>
      </c>
      <c r="H447" s="25">
        <f>60400-350</f>
        <v>60050</v>
      </c>
    </row>
    <row r="448" spans="1:8" ht="38.25" x14ac:dyDescent="0.2">
      <c r="A448" s="47" t="s">
        <v>342</v>
      </c>
      <c r="B448" s="8" t="s">
        <v>58</v>
      </c>
      <c r="C448" s="8" t="s">
        <v>32</v>
      </c>
      <c r="D448" s="8" t="s">
        <v>125</v>
      </c>
      <c r="E448" s="8"/>
      <c r="F448" s="9">
        <f>F449</f>
        <v>46184</v>
      </c>
      <c r="G448" s="9">
        <f t="shared" ref="G448:H448" si="65">G449</f>
        <v>30183</v>
      </c>
      <c r="H448" s="9">
        <f t="shared" si="65"/>
        <v>32581</v>
      </c>
    </row>
    <row r="449" spans="1:14" x14ac:dyDescent="0.2">
      <c r="A449" s="27" t="s">
        <v>13</v>
      </c>
      <c r="B449" s="23" t="s">
        <v>58</v>
      </c>
      <c r="C449" s="23" t="s">
        <v>32</v>
      </c>
      <c r="D449" s="23" t="s">
        <v>125</v>
      </c>
      <c r="E449" s="23" t="s">
        <v>14</v>
      </c>
      <c r="F449" s="25">
        <f>29411+16626+147</f>
        <v>46184</v>
      </c>
      <c r="G449" s="25">
        <f>30033+150</f>
        <v>30183</v>
      </c>
      <c r="H449" s="25">
        <f>32419+162</f>
        <v>32581</v>
      </c>
    </row>
    <row r="450" spans="1:14" ht="38.25" x14ac:dyDescent="0.2">
      <c r="A450" s="10" t="s">
        <v>386</v>
      </c>
      <c r="B450" s="8" t="s">
        <v>58</v>
      </c>
      <c r="C450" s="8" t="s">
        <v>32</v>
      </c>
      <c r="D450" s="8" t="s">
        <v>387</v>
      </c>
      <c r="E450" s="8"/>
      <c r="F450" s="9">
        <f>F452+F451</f>
        <v>6726</v>
      </c>
      <c r="G450" s="9">
        <f t="shared" ref="G450:H450" si="66">G452+G451</f>
        <v>0</v>
      </c>
      <c r="H450" s="9">
        <f t="shared" si="66"/>
        <v>0</v>
      </c>
      <c r="I450" s="4"/>
      <c r="J450" s="4"/>
      <c r="K450" s="4"/>
      <c r="L450" s="4"/>
      <c r="M450" s="4"/>
      <c r="N450" s="4"/>
    </row>
    <row r="451" spans="1:14" s="26" customFormat="1" ht="25.5" x14ac:dyDescent="0.2">
      <c r="A451" s="27" t="s">
        <v>20</v>
      </c>
      <c r="B451" s="23" t="s">
        <v>58</v>
      </c>
      <c r="C451" s="23" t="s">
        <v>32</v>
      </c>
      <c r="D451" s="23" t="s">
        <v>387</v>
      </c>
      <c r="E451" s="23" t="s">
        <v>12</v>
      </c>
      <c r="F451" s="25">
        <v>29.1</v>
      </c>
      <c r="G451" s="25">
        <v>0</v>
      </c>
      <c r="H451" s="25">
        <v>0</v>
      </c>
      <c r="I451" s="13"/>
      <c r="J451" s="13"/>
      <c r="K451" s="13"/>
      <c r="L451" s="13"/>
      <c r="M451" s="13"/>
      <c r="N451" s="13"/>
    </row>
    <row r="452" spans="1:14" s="26" customFormat="1" x14ac:dyDescent="0.2">
      <c r="A452" s="27" t="s">
        <v>13</v>
      </c>
      <c r="B452" s="23" t="s">
        <v>58</v>
      </c>
      <c r="C452" s="23" t="s">
        <v>32</v>
      </c>
      <c r="D452" s="23" t="s">
        <v>387</v>
      </c>
      <c r="E452" s="23" t="s">
        <v>14</v>
      </c>
      <c r="F452" s="25">
        <f>6726-29.1</f>
        <v>6696.9</v>
      </c>
      <c r="G452" s="25">
        <v>0</v>
      </c>
      <c r="H452" s="25">
        <v>0</v>
      </c>
      <c r="I452" s="13"/>
      <c r="J452" s="13"/>
      <c r="K452" s="13"/>
      <c r="L452" s="13"/>
      <c r="M452" s="13"/>
      <c r="N452" s="13"/>
    </row>
    <row r="453" spans="1:14" ht="38.25" x14ac:dyDescent="0.2">
      <c r="A453" s="47" t="s">
        <v>342</v>
      </c>
      <c r="B453" s="8" t="s">
        <v>58</v>
      </c>
      <c r="C453" s="8" t="s">
        <v>32</v>
      </c>
      <c r="D453" s="8" t="s">
        <v>383</v>
      </c>
      <c r="E453" s="8"/>
      <c r="F453" s="9">
        <f>F454</f>
        <v>231</v>
      </c>
      <c r="G453" s="9">
        <f t="shared" ref="G453:H453" si="67">G454</f>
        <v>0</v>
      </c>
      <c r="H453" s="9">
        <f t="shared" si="67"/>
        <v>0</v>
      </c>
    </row>
    <row r="454" spans="1:14" s="26" customFormat="1" ht="25.5" x14ac:dyDescent="0.2">
      <c r="A454" s="27" t="s">
        <v>20</v>
      </c>
      <c r="B454" s="23" t="s">
        <v>58</v>
      </c>
      <c r="C454" s="23" t="s">
        <v>32</v>
      </c>
      <c r="D454" s="23" t="s">
        <v>383</v>
      </c>
      <c r="E454" s="24" t="s">
        <v>12</v>
      </c>
      <c r="F454" s="25">
        <v>231</v>
      </c>
      <c r="G454" s="25">
        <v>0</v>
      </c>
      <c r="H454" s="25">
        <v>0</v>
      </c>
      <c r="I454" s="13"/>
      <c r="J454" s="13"/>
      <c r="K454" s="13"/>
      <c r="L454" s="13"/>
      <c r="M454" s="13"/>
    </row>
    <row r="455" spans="1:14" ht="38.25" x14ac:dyDescent="0.2">
      <c r="A455" s="10" t="s">
        <v>340</v>
      </c>
      <c r="B455" s="8" t="s">
        <v>58</v>
      </c>
      <c r="C455" s="8" t="s">
        <v>32</v>
      </c>
      <c r="D455" s="8" t="s">
        <v>99</v>
      </c>
      <c r="E455" s="8"/>
      <c r="F455" s="9">
        <f>F457+F456</f>
        <v>28360</v>
      </c>
      <c r="G455" s="9">
        <f>G457+G456</f>
        <v>28360</v>
      </c>
      <c r="H455" s="9">
        <f>H457+H456</f>
        <v>28360</v>
      </c>
    </row>
    <row r="456" spans="1:14" ht="25.5" x14ac:dyDescent="0.2">
      <c r="A456" s="27" t="s">
        <v>20</v>
      </c>
      <c r="B456" s="23" t="s">
        <v>58</v>
      </c>
      <c r="C456" s="23" t="s">
        <v>32</v>
      </c>
      <c r="D456" s="23" t="s">
        <v>99</v>
      </c>
      <c r="E456" s="24" t="s">
        <v>12</v>
      </c>
      <c r="F456" s="25">
        <v>1</v>
      </c>
      <c r="G456" s="25">
        <v>1</v>
      </c>
      <c r="H456" s="25">
        <v>1</v>
      </c>
    </row>
    <row r="457" spans="1:14" x14ac:dyDescent="0.2">
      <c r="A457" s="27" t="s">
        <v>13</v>
      </c>
      <c r="B457" s="23" t="s">
        <v>58</v>
      </c>
      <c r="C457" s="23" t="s">
        <v>32</v>
      </c>
      <c r="D457" s="23" t="s">
        <v>99</v>
      </c>
      <c r="E457" s="23" t="s">
        <v>14</v>
      </c>
      <c r="F457" s="25">
        <v>28359</v>
      </c>
      <c r="G457" s="25">
        <v>28359</v>
      </c>
      <c r="H457" s="25">
        <v>28359</v>
      </c>
    </row>
    <row r="458" spans="1:14" x14ac:dyDescent="0.2">
      <c r="A458" s="14" t="s">
        <v>0</v>
      </c>
      <c r="B458" s="11" t="s">
        <v>58</v>
      </c>
      <c r="C458" s="11" t="s">
        <v>56</v>
      </c>
      <c r="D458" s="11"/>
      <c r="E458" s="11"/>
      <c r="F458" s="12">
        <f>F459+F462+F466+F468+F475+F471+F473+F479</f>
        <v>29306.251619999999</v>
      </c>
      <c r="G458" s="12">
        <f t="shared" ref="G458:H458" si="68">G459+G462+G466+G468+G475+G471+G473+G479</f>
        <v>26363.5</v>
      </c>
      <c r="H458" s="12">
        <f t="shared" si="68"/>
        <v>26363.5</v>
      </c>
    </row>
    <row r="459" spans="1:14" x14ac:dyDescent="0.2">
      <c r="A459" s="10" t="s">
        <v>303</v>
      </c>
      <c r="B459" s="8" t="s">
        <v>58</v>
      </c>
      <c r="C459" s="8" t="s">
        <v>56</v>
      </c>
      <c r="D459" s="8" t="s">
        <v>304</v>
      </c>
      <c r="E459" s="8"/>
      <c r="F459" s="9">
        <f>F461+F460</f>
        <v>114.89999999999999</v>
      </c>
      <c r="G459" s="9">
        <f>G461+G460</f>
        <v>114.89999999999999</v>
      </c>
      <c r="H459" s="9">
        <f>H461+H460</f>
        <v>114.89999999999999</v>
      </c>
    </row>
    <row r="460" spans="1:14" ht="25.5" x14ac:dyDescent="0.2">
      <c r="A460" s="27" t="s">
        <v>20</v>
      </c>
      <c r="B460" s="23" t="s">
        <v>58</v>
      </c>
      <c r="C460" s="23" t="s">
        <v>56</v>
      </c>
      <c r="D460" s="23" t="s">
        <v>304</v>
      </c>
      <c r="E460" s="24" t="s">
        <v>12</v>
      </c>
      <c r="F460" s="25">
        <v>0.6</v>
      </c>
      <c r="G460" s="25">
        <v>0.6</v>
      </c>
      <c r="H460" s="25">
        <v>0.6</v>
      </c>
    </row>
    <row r="461" spans="1:14" x14ac:dyDescent="0.2">
      <c r="A461" s="27" t="s">
        <v>13</v>
      </c>
      <c r="B461" s="23" t="s">
        <v>58</v>
      </c>
      <c r="C461" s="23" t="s">
        <v>56</v>
      </c>
      <c r="D461" s="23" t="s">
        <v>304</v>
      </c>
      <c r="E461" s="23" t="s">
        <v>14</v>
      </c>
      <c r="F461" s="25">
        <v>114.3</v>
      </c>
      <c r="G461" s="25">
        <v>114.3</v>
      </c>
      <c r="H461" s="25">
        <v>114.3</v>
      </c>
    </row>
    <row r="462" spans="1:14" x14ac:dyDescent="0.2">
      <c r="A462" s="10" t="s">
        <v>306</v>
      </c>
      <c r="B462" s="8" t="s">
        <v>58</v>
      </c>
      <c r="C462" s="8" t="s">
        <v>56</v>
      </c>
      <c r="D462" s="8" t="s">
        <v>305</v>
      </c>
      <c r="E462" s="8"/>
      <c r="F462" s="9">
        <f>F463+F464+F465</f>
        <v>1426.3</v>
      </c>
      <c r="G462" s="9">
        <f>G463+G464+G465</f>
        <v>1369.1000000000001</v>
      </c>
      <c r="H462" s="9">
        <f>H463+H464+H465</f>
        <v>1369.1000000000001</v>
      </c>
    </row>
    <row r="463" spans="1:14" ht="25.5" x14ac:dyDescent="0.2">
      <c r="A463" s="27" t="s">
        <v>20</v>
      </c>
      <c r="B463" s="23" t="s">
        <v>58</v>
      </c>
      <c r="C463" s="23" t="s">
        <v>56</v>
      </c>
      <c r="D463" s="23" t="s">
        <v>305</v>
      </c>
      <c r="E463" s="23" t="s">
        <v>12</v>
      </c>
      <c r="F463" s="25">
        <f>2.2+80+325.2+450+20+57.2</f>
        <v>934.6</v>
      </c>
      <c r="G463" s="25">
        <f>2.2+80+325.2+450+20</f>
        <v>877.4</v>
      </c>
      <c r="H463" s="25">
        <f>2.2+80+325.2+450+20</f>
        <v>877.4</v>
      </c>
    </row>
    <row r="464" spans="1:14" x14ac:dyDescent="0.2">
      <c r="A464" s="27" t="s">
        <v>13</v>
      </c>
      <c r="B464" s="23" t="s">
        <v>58</v>
      </c>
      <c r="C464" s="23" t="s">
        <v>56</v>
      </c>
      <c r="D464" s="23" t="s">
        <v>305</v>
      </c>
      <c r="E464" s="24" t="s">
        <v>14</v>
      </c>
      <c r="F464" s="25">
        <f>429+32</f>
        <v>461</v>
      </c>
      <c r="G464" s="25">
        <f>429+32</f>
        <v>461</v>
      </c>
      <c r="H464" s="25">
        <f>429+32</f>
        <v>461</v>
      </c>
    </row>
    <row r="465" spans="1:8" x14ac:dyDescent="0.2">
      <c r="A465" s="27" t="s">
        <v>16</v>
      </c>
      <c r="B465" s="23" t="s">
        <v>58</v>
      </c>
      <c r="C465" s="23" t="s">
        <v>56</v>
      </c>
      <c r="D465" s="23" t="s">
        <v>305</v>
      </c>
      <c r="E465" s="23" t="s">
        <v>17</v>
      </c>
      <c r="F465" s="25">
        <f>30.7</f>
        <v>30.7</v>
      </c>
      <c r="G465" s="25">
        <f>30.7</f>
        <v>30.7</v>
      </c>
      <c r="H465" s="25">
        <f>30.7</f>
        <v>30.7</v>
      </c>
    </row>
    <row r="466" spans="1:8" x14ac:dyDescent="0.2">
      <c r="A466" s="10" t="s">
        <v>308</v>
      </c>
      <c r="B466" s="8" t="s">
        <v>58</v>
      </c>
      <c r="C466" s="8" t="s">
        <v>56</v>
      </c>
      <c r="D466" s="8" t="s">
        <v>307</v>
      </c>
      <c r="E466" s="8"/>
      <c r="F466" s="9">
        <f>F467</f>
        <v>857.9</v>
      </c>
      <c r="G466" s="9">
        <f>G467</f>
        <v>818</v>
      </c>
      <c r="H466" s="9">
        <f>H467</f>
        <v>818</v>
      </c>
    </row>
    <row r="467" spans="1:8" ht="25.5" x14ac:dyDescent="0.2">
      <c r="A467" s="27" t="s">
        <v>215</v>
      </c>
      <c r="B467" s="23" t="s">
        <v>58</v>
      </c>
      <c r="C467" s="23" t="s">
        <v>56</v>
      </c>
      <c r="D467" s="23" t="s">
        <v>307</v>
      </c>
      <c r="E467" s="23" t="s">
        <v>8</v>
      </c>
      <c r="F467" s="25">
        <f>818+39.9</f>
        <v>857.9</v>
      </c>
      <c r="G467" s="25">
        <v>818</v>
      </c>
      <c r="H467" s="25">
        <v>818</v>
      </c>
    </row>
    <row r="468" spans="1:8" x14ac:dyDescent="0.2">
      <c r="A468" s="10" t="s">
        <v>309</v>
      </c>
      <c r="B468" s="8" t="s">
        <v>58</v>
      </c>
      <c r="C468" s="8" t="s">
        <v>56</v>
      </c>
      <c r="D468" s="8" t="s">
        <v>310</v>
      </c>
      <c r="E468" s="8"/>
      <c r="F468" s="9">
        <f>F470+F469</f>
        <v>1167.5999999999999</v>
      </c>
      <c r="G468" s="9">
        <f t="shared" ref="G468:H468" si="69">G470+G469</f>
        <v>1264.7</v>
      </c>
      <c r="H468" s="9">
        <f t="shared" si="69"/>
        <v>1264.7</v>
      </c>
    </row>
    <row r="469" spans="1:8" ht="25.5" x14ac:dyDescent="0.2">
      <c r="A469" s="27" t="s">
        <v>20</v>
      </c>
      <c r="B469" s="23" t="s">
        <v>58</v>
      </c>
      <c r="C469" s="23" t="s">
        <v>56</v>
      </c>
      <c r="D469" s="23" t="s">
        <v>310</v>
      </c>
      <c r="E469" s="23" t="s">
        <v>12</v>
      </c>
      <c r="F469" s="25">
        <f>450-97.1</f>
        <v>352.9</v>
      </c>
      <c r="G469" s="25">
        <v>450</v>
      </c>
      <c r="H469" s="25">
        <v>450</v>
      </c>
    </row>
    <row r="470" spans="1:8" x14ac:dyDescent="0.2">
      <c r="A470" s="27" t="s">
        <v>13</v>
      </c>
      <c r="B470" s="23" t="s">
        <v>58</v>
      </c>
      <c r="C470" s="23" t="s">
        <v>56</v>
      </c>
      <c r="D470" s="23" t="s">
        <v>310</v>
      </c>
      <c r="E470" s="23" t="s">
        <v>14</v>
      </c>
      <c r="F470" s="25">
        <v>814.7</v>
      </c>
      <c r="G470" s="25">
        <v>814.7</v>
      </c>
      <c r="H470" s="25">
        <v>814.7</v>
      </c>
    </row>
    <row r="471" spans="1:8" ht="25.5" x14ac:dyDescent="0.2">
      <c r="A471" s="10" t="s">
        <v>311</v>
      </c>
      <c r="B471" s="8" t="s">
        <v>58</v>
      </c>
      <c r="C471" s="8" t="s">
        <v>56</v>
      </c>
      <c r="D471" s="8" t="s">
        <v>312</v>
      </c>
      <c r="E471" s="8"/>
      <c r="F471" s="9">
        <f>F472</f>
        <v>1426.7516199999998</v>
      </c>
      <c r="G471" s="9">
        <f>G472</f>
        <v>2706.7</v>
      </c>
      <c r="H471" s="9">
        <f>H472</f>
        <v>2706.7</v>
      </c>
    </row>
    <row r="472" spans="1:8" x14ac:dyDescent="0.2">
      <c r="A472" s="27" t="s">
        <v>13</v>
      </c>
      <c r="B472" s="23" t="s">
        <v>58</v>
      </c>
      <c r="C472" s="23" t="s">
        <v>56</v>
      </c>
      <c r="D472" s="23" t="s">
        <v>312</v>
      </c>
      <c r="E472" s="23" t="s">
        <v>14</v>
      </c>
      <c r="F472" s="25">
        <f>2706.7-1279.94838</f>
        <v>1426.7516199999998</v>
      </c>
      <c r="G472" s="25">
        <v>2706.7</v>
      </c>
      <c r="H472" s="25">
        <v>2706.7</v>
      </c>
    </row>
    <row r="473" spans="1:8" ht="63.75" x14ac:dyDescent="0.2">
      <c r="A473" s="52" t="s">
        <v>313</v>
      </c>
      <c r="B473" s="50" t="s">
        <v>58</v>
      </c>
      <c r="C473" s="8" t="s">
        <v>56</v>
      </c>
      <c r="D473" s="8" t="s">
        <v>314</v>
      </c>
      <c r="E473" s="8"/>
      <c r="F473" s="9">
        <f>F474</f>
        <v>78.099999999999994</v>
      </c>
      <c r="G473" s="9">
        <f>G474</f>
        <v>78.099999999999994</v>
      </c>
      <c r="H473" s="9">
        <f>H474</f>
        <v>78.099999999999994</v>
      </c>
    </row>
    <row r="474" spans="1:8" x14ac:dyDescent="0.2">
      <c r="A474" s="51" t="s">
        <v>13</v>
      </c>
      <c r="B474" s="23" t="s">
        <v>58</v>
      </c>
      <c r="C474" s="23" t="s">
        <v>56</v>
      </c>
      <c r="D474" s="23" t="s">
        <v>314</v>
      </c>
      <c r="E474" s="23" t="s">
        <v>14</v>
      </c>
      <c r="F474" s="25">
        <v>78.099999999999994</v>
      </c>
      <c r="G474" s="25">
        <v>78.099999999999994</v>
      </c>
      <c r="H474" s="25">
        <v>78.099999999999994</v>
      </c>
    </row>
    <row r="475" spans="1:8" ht="25.5" x14ac:dyDescent="0.2">
      <c r="A475" s="10" t="s">
        <v>315</v>
      </c>
      <c r="B475" s="8" t="s">
        <v>58</v>
      </c>
      <c r="C475" s="8" t="s">
        <v>56</v>
      </c>
      <c r="D475" s="8" t="s">
        <v>91</v>
      </c>
      <c r="E475" s="8"/>
      <c r="F475" s="9">
        <f>F476+F477+F478</f>
        <v>22247</v>
      </c>
      <c r="G475" s="9">
        <f>G476+G477+G478</f>
        <v>19783</v>
      </c>
      <c r="H475" s="9">
        <f>H476+H477+H478</f>
        <v>19783</v>
      </c>
    </row>
    <row r="476" spans="1:8" ht="51" x14ac:dyDescent="0.2">
      <c r="A476" s="22" t="s">
        <v>9</v>
      </c>
      <c r="B476" s="23" t="s">
        <v>58</v>
      </c>
      <c r="C476" s="23" t="s">
        <v>56</v>
      </c>
      <c r="D476" s="23" t="s">
        <v>91</v>
      </c>
      <c r="E476" s="24" t="s">
        <v>10</v>
      </c>
      <c r="F476" s="25">
        <f>18510.7+178+2464</f>
        <v>21152.7</v>
      </c>
      <c r="G476" s="25">
        <f>18510.7+178</f>
        <v>18688.7</v>
      </c>
      <c r="H476" s="25">
        <f>18510.7+178</f>
        <v>18688.7</v>
      </c>
    </row>
    <row r="477" spans="1:8" ht="25.5" x14ac:dyDescent="0.2">
      <c r="A477" s="27" t="s">
        <v>20</v>
      </c>
      <c r="B477" s="23" t="s">
        <v>58</v>
      </c>
      <c r="C477" s="23" t="s">
        <v>56</v>
      </c>
      <c r="D477" s="23" t="s">
        <v>91</v>
      </c>
      <c r="E477" s="24" t="s">
        <v>12</v>
      </c>
      <c r="F477" s="25">
        <f>1090.3-7</f>
        <v>1083.3</v>
      </c>
      <c r="G477" s="25">
        <v>1090.3</v>
      </c>
      <c r="H477" s="25">
        <v>1090.3</v>
      </c>
    </row>
    <row r="478" spans="1:8" x14ac:dyDescent="0.2">
      <c r="A478" s="27" t="s">
        <v>16</v>
      </c>
      <c r="B478" s="23" t="s">
        <v>58</v>
      </c>
      <c r="C478" s="23" t="s">
        <v>56</v>
      </c>
      <c r="D478" s="23" t="s">
        <v>91</v>
      </c>
      <c r="E478" s="23" t="s">
        <v>17</v>
      </c>
      <c r="F478" s="25">
        <f>4+7</f>
        <v>11</v>
      </c>
      <c r="G478" s="25">
        <v>4</v>
      </c>
      <c r="H478" s="25">
        <v>4</v>
      </c>
    </row>
    <row r="479" spans="1:8" x14ac:dyDescent="0.2">
      <c r="A479" s="10" t="s">
        <v>272</v>
      </c>
      <c r="B479" s="6" t="s">
        <v>58</v>
      </c>
      <c r="C479" s="8" t="s">
        <v>56</v>
      </c>
      <c r="D479" s="6" t="s">
        <v>273</v>
      </c>
      <c r="E479" s="8"/>
      <c r="F479" s="9">
        <f>F481+F480+F482</f>
        <v>1987.7</v>
      </c>
      <c r="G479" s="9">
        <f t="shared" ref="G479:H479" si="70">G481+G480+G482</f>
        <v>229</v>
      </c>
      <c r="H479" s="9">
        <f t="shared" si="70"/>
        <v>229</v>
      </c>
    </row>
    <row r="480" spans="1:8" ht="25.5" x14ac:dyDescent="0.2">
      <c r="A480" s="22" t="s">
        <v>11</v>
      </c>
      <c r="B480" s="23" t="s">
        <v>58</v>
      </c>
      <c r="C480" s="23" t="s">
        <v>56</v>
      </c>
      <c r="D480" s="23" t="s">
        <v>273</v>
      </c>
      <c r="E480" s="23" t="s">
        <v>12</v>
      </c>
      <c r="F480" s="9">
        <v>129</v>
      </c>
      <c r="G480" s="9">
        <v>129</v>
      </c>
      <c r="H480" s="9">
        <v>129</v>
      </c>
    </row>
    <row r="481" spans="1:12" x14ac:dyDescent="0.2">
      <c r="A481" s="27" t="s">
        <v>13</v>
      </c>
      <c r="B481" s="23" t="s">
        <v>58</v>
      </c>
      <c r="C481" s="23" t="s">
        <v>56</v>
      </c>
      <c r="D481" s="23" t="s">
        <v>273</v>
      </c>
      <c r="E481" s="23" t="s">
        <v>14</v>
      </c>
      <c r="F481" s="9">
        <v>100</v>
      </c>
      <c r="G481" s="9">
        <v>100</v>
      </c>
      <c r="H481" s="9">
        <v>100</v>
      </c>
    </row>
    <row r="482" spans="1:12" s="26" customFormat="1" ht="25.5" x14ac:dyDescent="0.2">
      <c r="A482" s="27" t="s">
        <v>74</v>
      </c>
      <c r="B482" s="23" t="s">
        <v>58</v>
      </c>
      <c r="C482" s="23" t="s">
        <v>56</v>
      </c>
      <c r="D482" s="23" t="s">
        <v>273</v>
      </c>
      <c r="E482" s="23" t="s">
        <v>15</v>
      </c>
      <c r="F482" s="25">
        <v>1758.7</v>
      </c>
      <c r="G482" s="25">
        <v>0</v>
      </c>
      <c r="H482" s="25">
        <v>0</v>
      </c>
      <c r="I482" s="13"/>
      <c r="J482" s="13"/>
      <c r="K482" s="13"/>
      <c r="L482" s="13"/>
    </row>
    <row r="483" spans="1:12" ht="15.75" x14ac:dyDescent="0.25">
      <c r="A483" s="35" t="s">
        <v>57</v>
      </c>
      <c r="B483" s="33" t="s">
        <v>35</v>
      </c>
      <c r="C483" s="33" t="s">
        <v>26</v>
      </c>
      <c r="D483" s="33"/>
      <c r="E483" s="33"/>
      <c r="F483" s="34">
        <f>F484+F495+F498</f>
        <v>47817.200000000012</v>
      </c>
      <c r="G483" s="34">
        <f t="shared" ref="G483:H483" si="71">G484+G495+G498</f>
        <v>31208.700000000004</v>
      </c>
      <c r="H483" s="34">
        <f t="shared" si="71"/>
        <v>31208.700000000004</v>
      </c>
    </row>
    <row r="484" spans="1:12" x14ac:dyDescent="0.2">
      <c r="A484" s="14" t="s">
        <v>65</v>
      </c>
      <c r="B484" s="11" t="s">
        <v>35</v>
      </c>
      <c r="C484" s="11" t="s">
        <v>25</v>
      </c>
      <c r="D484" s="11"/>
      <c r="E484" s="11"/>
      <c r="F484" s="12">
        <f>F489+F491+F485+F493+F487</f>
        <v>46432.000000000007</v>
      </c>
      <c r="G484" s="12">
        <f t="shared" ref="G484:H484" si="72">G489+G491+G485+G493+G487</f>
        <v>29942.9</v>
      </c>
      <c r="H484" s="12">
        <f t="shared" si="72"/>
        <v>29942.9</v>
      </c>
    </row>
    <row r="485" spans="1:12" s="7" customFormat="1" ht="25.5" x14ac:dyDescent="0.2">
      <c r="A485" s="5" t="s">
        <v>178</v>
      </c>
      <c r="B485" s="8" t="s">
        <v>35</v>
      </c>
      <c r="C485" s="8" t="s">
        <v>25</v>
      </c>
      <c r="D485" s="8" t="s">
        <v>177</v>
      </c>
      <c r="E485" s="1"/>
      <c r="F485" s="2">
        <f>F486</f>
        <v>20</v>
      </c>
      <c r="G485" s="2">
        <f>G486</f>
        <v>20</v>
      </c>
      <c r="H485" s="2">
        <f>H486</f>
        <v>20</v>
      </c>
    </row>
    <row r="486" spans="1:12" s="26" customFormat="1" ht="25.5" x14ac:dyDescent="0.2">
      <c r="A486" s="27" t="s">
        <v>215</v>
      </c>
      <c r="B486" s="23" t="s">
        <v>35</v>
      </c>
      <c r="C486" s="23" t="s">
        <v>25</v>
      </c>
      <c r="D486" s="23" t="s">
        <v>177</v>
      </c>
      <c r="E486" s="23" t="s">
        <v>8</v>
      </c>
      <c r="F486" s="25">
        <v>20</v>
      </c>
      <c r="G486" s="25">
        <v>20</v>
      </c>
      <c r="H486" s="25">
        <v>20</v>
      </c>
    </row>
    <row r="487" spans="1:12" x14ac:dyDescent="0.2">
      <c r="A487" s="10" t="s">
        <v>205</v>
      </c>
      <c r="B487" s="8" t="s">
        <v>35</v>
      </c>
      <c r="C487" s="8" t="s">
        <v>25</v>
      </c>
      <c r="D487" s="23" t="s">
        <v>204</v>
      </c>
      <c r="E487" s="8"/>
      <c r="F487" s="9">
        <f>F488</f>
        <v>5300</v>
      </c>
      <c r="G487" s="9">
        <f>G488</f>
        <v>0</v>
      </c>
      <c r="H487" s="9">
        <f>H488</f>
        <v>0</v>
      </c>
    </row>
    <row r="488" spans="1:12" s="26" customFormat="1" ht="25.5" x14ac:dyDescent="0.2">
      <c r="A488" s="27" t="s">
        <v>74</v>
      </c>
      <c r="B488" s="23" t="s">
        <v>35</v>
      </c>
      <c r="C488" s="23" t="s">
        <v>25</v>
      </c>
      <c r="D488" s="23" t="s">
        <v>204</v>
      </c>
      <c r="E488" s="23" t="s">
        <v>15</v>
      </c>
      <c r="F488" s="25">
        <v>5300</v>
      </c>
      <c r="G488" s="25">
        <v>0</v>
      </c>
      <c r="H488" s="25">
        <v>0</v>
      </c>
    </row>
    <row r="489" spans="1:12" ht="24.75" customHeight="1" x14ac:dyDescent="0.2">
      <c r="A489" s="10" t="s">
        <v>317</v>
      </c>
      <c r="B489" s="8" t="s">
        <v>35</v>
      </c>
      <c r="C489" s="8" t="s">
        <v>25</v>
      </c>
      <c r="D489" s="8" t="s">
        <v>316</v>
      </c>
      <c r="E489" s="8"/>
      <c r="F489" s="9">
        <f>F490</f>
        <v>14024.800000000001</v>
      </c>
      <c r="G489" s="9">
        <f t="shared" ref="G489:H489" si="73">G490</f>
        <v>8956.3000000000011</v>
      </c>
      <c r="H489" s="9">
        <f t="shared" si="73"/>
        <v>8956.3000000000011</v>
      </c>
    </row>
    <row r="490" spans="1:12" ht="25.5" x14ac:dyDescent="0.2">
      <c r="A490" s="27" t="s">
        <v>215</v>
      </c>
      <c r="B490" s="23" t="s">
        <v>35</v>
      </c>
      <c r="C490" s="23" t="s">
        <v>25</v>
      </c>
      <c r="D490" s="23" t="s">
        <v>316</v>
      </c>
      <c r="E490" s="23" t="s">
        <v>8</v>
      </c>
      <c r="F490" s="25">
        <f>8885.6+70.7-98+4398.1+3+36.6+728.8</f>
        <v>14024.800000000001</v>
      </c>
      <c r="G490" s="25">
        <f>8885.6+70.7</f>
        <v>8956.3000000000011</v>
      </c>
      <c r="H490" s="25">
        <f>8885.6+70.7</f>
        <v>8956.3000000000011</v>
      </c>
    </row>
    <row r="491" spans="1:12" ht="38.25" x14ac:dyDescent="0.2">
      <c r="A491" s="10" t="s">
        <v>319</v>
      </c>
      <c r="B491" s="8" t="s">
        <v>35</v>
      </c>
      <c r="C491" s="8" t="s">
        <v>25</v>
      </c>
      <c r="D491" s="8" t="s">
        <v>318</v>
      </c>
      <c r="E491" s="8"/>
      <c r="F491" s="9">
        <f>F492</f>
        <v>150</v>
      </c>
      <c r="G491" s="9">
        <f>G492</f>
        <v>150</v>
      </c>
      <c r="H491" s="9">
        <f>H492</f>
        <v>150</v>
      </c>
    </row>
    <row r="492" spans="1:12" ht="25.5" x14ac:dyDescent="0.2">
      <c r="A492" s="27" t="s">
        <v>20</v>
      </c>
      <c r="B492" s="23" t="s">
        <v>35</v>
      </c>
      <c r="C492" s="23" t="s">
        <v>25</v>
      </c>
      <c r="D492" s="23" t="s">
        <v>318</v>
      </c>
      <c r="E492" s="24" t="s">
        <v>12</v>
      </c>
      <c r="F492" s="25">
        <v>150</v>
      </c>
      <c r="G492" s="25">
        <v>150</v>
      </c>
      <c r="H492" s="25">
        <v>150</v>
      </c>
    </row>
    <row r="493" spans="1:12" ht="25.5" x14ac:dyDescent="0.2">
      <c r="A493" s="10" t="s">
        <v>365</v>
      </c>
      <c r="B493" s="8" t="s">
        <v>35</v>
      </c>
      <c r="C493" s="8" t="s">
        <v>25</v>
      </c>
      <c r="D493" s="8" t="s">
        <v>366</v>
      </c>
      <c r="E493" s="8"/>
      <c r="F493" s="9">
        <f>F494</f>
        <v>26937.200000000004</v>
      </c>
      <c r="G493" s="9">
        <f>G494</f>
        <v>20816.600000000002</v>
      </c>
      <c r="H493" s="9">
        <f>H494</f>
        <v>20816.600000000002</v>
      </c>
    </row>
    <row r="494" spans="1:12" s="26" customFormat="1" ht="25.5" x14ac:dyDescent="0.2">
      <c r="A494" s="27" t="s">
        <v>215</v>
      </c>
      <c r="B494" s="23" t="s">
        <v>35</v>
      </c>
      <c r="C494" s="23" t="s">
        <v>25</v>
      </c>
      <c r="D494" s="23" t="s">
        <v>366</v>
      </c>
      <c r="E494" s="24" t="s">
        <v>8</v>
      </c>
      <c r="F494" s="25">
        <f>20716.7+99.9-15+5851.7+142.7-70.3+211.5</f>
        <v>26937.200000000004</v>
      </c>
      <c r="G494" s="25">
        <f>20716.7+99.9</f>
        <v>20816.600000000002</v>
      </c>
      <c r="H494" s="25">
        <f>20716.7+99.9</f>
        <v>20816.600000000002</v>
      </c>
    </row>
    <row r="495" spans="1:12" x14ac:dyDescent="0.2">
      <c r="A495" s="14" t="s">
        <v>66</v>
      </c>
      <c r="B495" s="11" t="s">
        <v>35</v>
      </c>
      <c r="C495" s="11" t="s">
        <v>28</v>
      </c>
      <c r="D495" s="11"/>
      <c r="E495" s="11"/>
      <c r="F495" s="12">
        <f t="shared" ref="F495:H496" si="74">F496</f>
        <v>281.89999999999998</v>
      </c>
      <c r="G495" s="12">
        <f t="shared" si="74"/>
        <v>281.89999999999998</v>
      </c>
      <c r="H495" s="12">
        <f t="shared" si="74"/>
        <v>281.89999999999998</v>
      </c>
    </row>
    <row r="496" spans="1:12" ht="25.5" x14ac:dyDescent="0.2">
      <c r="A496" s="10" t="s">
        <v>327</v>
      </c>
      <c r="B496" s="8" t="s">
        <v>35</v>
      </c>
      <c r="C496" s="8" t="s">
        <v>28</v>
      </c>
      <c r="D496" s="8" t="s">
        <v>328</v>
      </c>
      <c r="E496" s="8"/>
      <c r="F496" s="9">
        <f t="shared" si="74"/>
        <v>281.89999999999998</v>
      </c>
      <c r="G496" s="9">
        <f t="shared" si="74"/>
        <v>281.89999999999998</v>
      </c>
      <c r="H496" s="9">
        <f t="shared" si="74"/>
        <v>281.89999999999998</v>
      </c>
    </row>
    <row r="497" spans="1:15" ht="25.5" x14ac:dyDescent="0.2">
      <c r="A497" s="27" t="s">
        <v>20</v>
      </c>
      <c r="B497" s="23" t="s">
        <v>35</v>
      </c>
      <c r="C497" s="23" t="s">
        <v>28</v>
      </c>
      <c r="D497" s="23" t="s">
        <v>328</v>
      </c>
      <c r="E497" s="24" t="s">
        <v>12</v>
      </c>
      <c r="F497" s="25">
        <v>281.89999999999998</v>
      </c>
      <c r="G497" s="25">
        <v>281.89999999999998</v>
      </c>
      <c r="H497" s="25">
        <v>281.89999999999998</v>
      </c>
    </row>
    <row r="498" spans="1:15" x14ac:dyDescent="0.2">
      <c r="A498" s="14" t="s">
        <v>6</v>
      </c>
      <c r="B498" s="11" t="s">
        <v>35</v>
      </c>
      <c r="C498" s="11" t="s">
        <v>44</v>
      </c>
      <c r="D498" s="11"/>
      <c r="E498" s="11"/>
      <c r="F498" s="12">
        <f>F499</f>
        <v>1103.3</v>
      </c>
      <c r="G498" s="12">
        <f>G499</f>
        <v>983.9</v>
      </c>
      <c r="H498" s="12">
        <f>H499</f>
        <v>983.9</v>
      </c>
    </row>
    <row r="499" spans="1:15" ht="25.5" x14ac:dyDescent="0.2">
      <c r="A499" s="10" t="s">
        <v>317</v>
      </c>
      <c r="B499" s="8" t="s">
        <v>35</v>
      </c>
      <c r="C499" s="8" t="s">
        <v>44</v>
      </c>
      <c r="D499" s="8" t="s">
        <v>320</v>
      </c>
      <c r="E499" s="8"/>
      <c r="F499" s="9">
        <f>F500+F501</f>
        <v>1103.3</v>
      </c>
      <c r="G499" s="9">
        <f>G500+G501</f>
        <v>983.9</v>
      </c>
      <c r="H499" s="9">
        <f>H500+H501</f>
        <v>983.9</v>
      </c>
    </row>
    <row r="500" spans="1:15" ht="51" x14ac:dyDescent="0.2">
      <c r="A500" s="22" t="s">
        <v>9</v>
      </c>
      <c r="B500" s="23" t="s">
        <v>35</v>
      </c>
      <c r="C500" s="23" t="s">
        <v>44</v>
      </c>
      <c r="D500" s="23" t="s">
        <v>320</v>
      </c>
      <c r="E500" s="24" t="s">
        <v>10</v>
      </c>
      <c r="F500" s="25">
        <f>717.6+216.7+9+117.9</f>
        <v>1061.2</v>
      </c>
      <c r="G500" s="25">
        <f>717.6+216.7+9</f>
        <v>943.3</v>
      </c>
      <c r="H500" s="25">
        <f>717.6+216.7+9</f>
        <v>943.3</v>
      </c>
    </row>
    <row r="501" spans="1:15" ht="25.5" x14ac:dyDescent="0.2">
      <c r="A501" s="27" t="s">
        <v>20</v>
      </c>
      <c r="B501" s="23" t="s">
        <v>35</v>
      </c>
      <c r="C501" s="23" t="s">
        <v>44</v>
      </c>
      <c r="D501" s="23" t="s">
        <v>320</v>
      </c>
      <c r="E501" s="24" t="s">
        <v>12</v>
      </c>
      <c r="F501" s="25">
        <f>40.6+1.5</f>
        <v>42.1</v>
      </c>
      <c r="G501" s="25">
        <v>40.6</v>
      </c>
      <c r="H501" s="25">
        <v>40.6</v>
      </c>
    </row>
    <row r="502" spans="1:15" ht="31.5" x14ac:dyDescent="0.25">
      <c r="A502" s="35" t="s">
        <v>34</v>
      </c>
      <c r="B502" s="33" t="s">
        <v>67</v>
      </c>
      <c r="C502" s="33" t="s">
        <v>26</v>
      </c>
      <c r="D502" s="33"/>
      <c r="E502" s="33"/>
      <c r="F502" s="34">
        <f>F503</f>
        <v>3454.1</v>
      </c>
      <c r="G502" s="34">
        <f t="shared" ref="G502:H504" si="75">G503</f>
        <v>3454.1</v>
      </c>
      <c r="H502" s="34">
        <f t="shared" si="75"/>
        <v>3454.1</v>
      </c>
    </row>
    <row r="503" spans="1:15" ht="25.5" x14ac:dyDescent="0.2">
      <c r="A503" s="14" t="s">
        <v>68</v>
      </c>
      <c r="B503" s="11" t="s">
        <v>67</v>
      </c>
      <c r="C503" s="11" t="s">
        <v>25</v>
      </c>
      <c r="D503" s="11"/>
      <c r="E503" s="11"/>
      <c r="F503" s="12">
        <f>F504</f>
        <v>3454.1</v>
      </c>
      <c r="G503" s="12">
        <f t="shared" si="75"/>
        <v>3454.1</v>
      </c>
      <c r="H503" s="12">
        <f t="shared" si="75"/>
        <v>3454.1</v>
      </c>
    </row>
    <row r="504" spans="1:15" ht="25.5" x14ac:dyDescent="0.2">
      <c r="A504" s="10" t="s">
        <v>322</v>
      </c>
      <c r="B504" s="8" t="s">
        <v>67</v>
      </c>
      <c r="C504" s="8" t="s">
        <v>25</v>
      </c>
      <c r="D504" s="8" t="s">
        <v>321</v>
      </c>
      <c r="E504" s="8"/>
      <c r="F504" s="9">
        <f>F505</f>
        <v>3454.1</v>
      </c>
      <c r="G504" s="9">
        <f t="shared" si="75"/>
        <v>3454.1</v>
      </c>
      <c r="H504" s="9">
        <f t="shared" si="75"/>
        <v>3454.1</v>
      </c>
    </row>
    <row r="505" spans="1:15" x14ac:dyDescent="0.2">
      <c r="A505" s="27" t="s">
        <v>19</v>
      </c>
      <c r="B505" s="23" t="s">
        <v>67</v>
      </c>
      <c r="C505" s="23" t="s">
        <v>25</v>
      </c>
      <c r="D505" s="23" t="s">
        <v>321</v>
      </c>
      <c r="E505" s="23" t="s">
        <v>18</v>
      </c>
      <c r="F505" s="25">
        <v>3454.1</v>
      </c>
      <c r="G505" s="25">
        <v>3454.1</v>
      </c>
      <c r="H505" s="25">
        <v>3454.1</v>
      </c>
    </row>
    <row r="506" spans="1:15" x14ac:dyDescent="0.2">
      <c r="A506" s="10" t="s">
        <v>374</v>
      </c>
      <c r="B506" s="8" t="s">
        <v>375</v>
      </c>
      <c r="C506" s="8"/>
      <c r="D506" s="8"/>
      <c r="E506" s="8"/>
      <c r="F506" s="9"/>
      <c r="G506" s="9">
        <f t="shared" ref="G506:H508" si="76">G507</f>
        <v>19446.400000000001</v>
      </c>
      <c r="H506" s="9">
        <f t="shared" si="76"/>
        <v>40381.799999999996</v>
      </c>
    </row>
    <row r="507" spans="1:15" x14ac:dyDescent="0.2">
      <c r="A507" s="10" t="s">
        <v>374</v>
      </c>
      <c r="B507" s="8" t="s">
        <v>375</v>
      </c>
      <c r="C507" s="6" t="s">
        <v>375</v>
      </c>
      <c r="D507" s="8"/>
      <c r="E507" s="8"/>
      <c r="F507" s="9"/>
      <c r="G507" s="9">
        <f t="shared" si="76"/>
        <v>19446.400000000001</v>
      </c>
      <c r="H507" s="9">
        <f t="shared" si="76"/>
        <v>40381.799999999996</v>
      </c>
    </row>
    <row r="508" spans="1:15" x14ac:dyDescent="0.2">
      <c r="A508" s="10" t="s">
        <v>374</v>
      </c>
      <c r="B508" s="8" t="s">
        <v>375</v>
      </c>
      <c r="C508" s="8" t="s">
        <v>375</v>
      </c>
      <c r="D508" s="8" t="s">
        <v>376</v>
      </c>
      <c r="E508" s="8"/>
      <c r="F508" s="9"/>
      <c r="G508" s="9">
        <f t="shared" si="76"/>
        <v>19446.400000000001</v>
      </c>
      <c r="H508" s="9">
        <f t="shared" si="76"/>
        <v>40381.799999999996</v>
      </c>
    </row>
    <row r="509" spans="1:15" s="26" customFormat="1" x14ac:dyDescent="0.2">
      <c r="A509" s="27" t="s">
        <v>374</v>
      </c>
      <c r="B509" s="23" t="s">
        <v>375</v>
      </c>
      <c r="C509" s="23" t="s">
        <v>375</v>
      </c>
      <c r="D509" s="8" t="s">
        <v>376</v>
      </c>
      <c r="E509" s="23" t="s">
        <v>17</v>
      </c>
      <c r="F509" s="25">
        <v>0</v>
      </c>
      <c r="G509" s="25">
        <f>19136.9+309.5</f>
        <v>19446.400000000001</v>
      </c>
      <c r="H509" s="25">
        <f>39722.6+659.2</f>
        <v>40381.799999999996</v>
      </c>
      <c r="J509" s="13"/>
      <c r="K509" s="13"/>
      <c r="L509" s="13"/>
      <c r="M509" s="13"/>
      <c r="N509" s="13"/>
      <c r="O509" s="13"/>
    </row>
    <row r="510" spans="1:15" ht="15.75" x14ac:dyDescent="0.25">
      <c r="A510" s="35" t="s">
        <v>1</v>
      </c>
      <c r="B510" s="33"/>
      <c r="C510" s="33"/>
      <c r="D510" s="33"/>
      <c r="E510" s="33"/>
      <c r="F510" s="34">
        <f>F502+F483+F321+F295+F196+F132+F108+F94+F14</f>
        <v>2984341.0494300001</v>
      </c>
      <c r="G510" s="34">
        <f>G502+G483+G321+G295+G196+G132+G108+G94+G14+G506</f>
        <v>2338074.5999999996</v>
      </c>
      <c r="H510" s="34">
        <f>H502+H483+H321+H295+H196+H132+H108+H94+H14+H506</f>
        <v>2308087.1</v>
      </c>
      <c r="I510" s="44"/>
    </row>
    <row r="511" spans="1:15" ht="15.75" x14ac:dyDescent="0.2">
      <c r="A511" s="60" t="s">
        <v>2</v>
      </c>
      <c r="B511" s="61"/>
      <c r="C511" s="61"/>
      <c r="D511" s="61"/>
      <c r="E511" s="61"/>
      <c r="F511" s="53">
        <v>35594.6</v>
      </c>
      <c r="G511" s="53">
        <v>35271.4</v>
      </c>
      <c r="H511" s="53">
        <v>35992.800000000003</v>
      </c>
    </row>
    <row r="512" spans="1:15" ht="0.75" customHeight="1" x14ac:dyDescent="0.2">
      <c r="A512" s="29"/>
      <c r="B512" s="30"/>
      <c r="C512" s="30"/>
      <c r="D512" s="30"/>
      <c r="E512" s="30"/>
      <c r="F512" s="49">
        <f>F510-[1]первоначальный!$G$603</f>
        <v>477292.64943000022</v>
      </c>
      <c r="G512" s="49">
        <f>G510-[1]первоначальный!$H$603</f>
        <v>96298.399999999441</v>
      </c>
      <c r="H512" s="49">
        <f>H510-[1]первоначальный!$I$603</f>
        <v>96765.5</v>
      </c>
    </row>
    <row r="513" spans="1:8" ht="9.75" hidden="1" customHeight="1" x14ac:dyDescent="0.2">
      <c r="A513" s="29"/>
      <c r="B513" s="30"/>
      <c r="C513" s="30"/>
      <c r="D513" s="30"/>
      <c r="E513" s="30"/>
      <c r="F513" s="42"/>
      <c r="G513" s="42"/>
      <c r="H513" s="42"/>
    </row>
    <row r="514" spans="1:8" hidden="1" x14ac:dyDescent="0.2">
      <c r="A514" s="29"/>
      <c r="B514" s="30"/>
      <c r="C514" s="30"/>
      <c r="D514" s="30"/>
      <c r="E514" s="30"/>
    </row>
    <row r="515" spans="1:8" hidden="1" x14ac:dyDescent="0.2">
      <c r="A515" s="29"/>
      <c r="B515" s="30"/>
      <c r="C515" s="30"/>
      <c r="D515" s="30"/>
      <c r="E515" s="30"/>
      <c r="F515" s="42">
        <f>F510-'[2]первоначальный 2 с субс'!$G$530</f>
        <v>364809.64942999976</v>
      </c>
      <c r="G515" s="42">
        <f>G510-'[2]первоначальный 2 с субс'!$H$530</f>
        <v>0</v>
      </c>
      <c r="H515" s="42">
        <f>H510-'[2]первоначальный 2 с субс'!$I$530</f>
        <v>0</v>
      </c>
    </row>
    <row r="516" spans="1:8" x14ac:dyDescent="0.2">
      <c r="A516" s="29"/>
      <c r="B516" s="30"/>
      <c r="C516" s="30"/>
      <c r="D516" s="30"/>
      <c r="E516" s="30"/>
      <c r="F516" s="42">
        <f>F510-'[3]изменения май'!$G$572</f>
        <v>0</v>
      </c>
      <c r="G516" s="42">
        <f>G510-'[4]изменения май'!$H$568</f>
        <v>0</v>
      </c>
      <c r="H516" s="42">
        <f>H510-'[4]изменения май'!$I$568</f>
        <v>0</v>
      </c>
    </row>
    <row r="517" spans="1:8" ht="61.5" customHeight="1" x14ac:dyDescent="0.2">
      <c r="A517" s="36" t="s">
        <v>72</v>
      </c>
      <c r="F517" s="42"/>
      <c r="G517" s="42"/>
      <c r="H517" s="42" t="s">
        <v>77</v>
      </c>
    </row>
    <row r="520" spans="1:8" x14ac:dyDescent="0.2">
      <c r="F520" s="42"/>
      <c r="G520" s="42"/>
      <c r="H520" s="42"/>
    </row>
    <row r="521" spans="1:8" x14ac:dyDescent="0.2">
      <c r="F521" s="42"/>
      <c r="G521" s="42"/>
      <c r="H521" s="42"/>
    </row>
    <row r="523" spans="1:8" x14ac:dyDescent="0.2">
      <c r="F523" s="42"/>
      <c r="G523" s="42"/>
      <c r="H523" s="42"/>
    </row>
    <row r="528" spans="1:8" x14ac:dyDescent="0.2">
      <c r="B528" s="13"/>
      <c r="C528" s="13"/>
      <c r="D528" s="13"/>
      <c r="E528" s="13"/>
      <c r="F528" s="13"/>
      <c r="G528" s="13"/>
      <c r="H528" s="13"/>
    </row>
    <row r="529" spans="2:8" x14ac:dyDescent="0.2">
      <c r="B529" s="13"/>
      <c r="C529" s="13"/>
      <c r="D529" s="13"/>
      <c r="E529" s="13"/>
      <c r="F529" s="13"/>
      <c r="G529" s="13"/>
      <c r="H529" s="13"/>
    </row>
    <row r="530" spans="2:8" x14ac:dyDescent="0.2">
      <c r="B530" s="13"/>
      <c r="C530" s="13"/>
      <c r="D530" s="13"/>
      <c r="E530" s="13"/>
      <c r="F530" s="13"/>
      <c r="G530" s="13"/>
      <c r="H530" s="13"/>
    </row>
    <row r="531" spans="2:8" x14ac:dyDescent="0.2">
      <c r="B531" s="13"/>
      <c r="C531" s="13"/>
      <c r="D531" s="13"/>
      <c r="E531" s="13"/>
      <c r="F531" s="13"/>
      <c r="G531" s="13"/>
      <c r="H531" s="13"/>
    </row>
    <row r="532" spans="2:8" x14ac:dyDescent="0.2">
      <c r="B532" s="13"/>
      <c r="C532" s="13"/>
      <c r="D532" s="13"/>
      <c r="E532" s="13"/>
      <c r="F532" s="13"/>
      <c r="G532" s="13"/>
      <c r="H532" s="13"/>
    </row>
    <row r="533" spans="2:8" x14ac:dyDescent="0.2">
      <c r="B533" s="13"/>
      <c r="C533" s="13"/>
      <c r="D533" s="13"/>
      <c r="E533" s="13"/>
      <c r="F533" s="13"/>
      <c r="G533" s="13"/>
      <c r="H533" s="13"/>
    </row>
    <row r="534" spans="2:8" x14ac:dyDescent="0.2">
      <c r="B534" s="13"/>
      <c r="C534" s="13"/>
      <c r="D534" s="13"/>
      <c r="E534" s="13"/>
      <c r="F534" s="13"/>
      <c r="G534" s="13"/>
      <c r="H534" s="13"/>
    </row>
    <row r="535" spans="2:8" x14ac:dyDescent="0.2">
      <c r="B535" s="13"/>
      <c r="C535" s="13"/>
      <c r="D535" s="13"/>
      <c r="E535" s="13"/>
      <c r="F535" s="13"/>
      <c r="G535" s="13"/>
      <c r="H535" s="13"/>
    </row>
    <row r="536" spans="2:8" x14ac:dyDescent="0.2">
      <c r="B536" s="13"/>
      <c r="C536" s="13"/>
      <c r="D536" s="13"/>
      <c r="E536" s="13"/>
      <c r="F536" s="13"/>
      <c r="G536" s="13"/>
      <c r="H536" s="13"/>
    </row>
    <row r="537" spans="2:8" x14ac:dyDescent="0.2">
      <c r="B537" s="13"/>
      <c r="C537" s="13"/>
      <c r="D537" s="13"/>
      <c r="E537" s="13"/>
      <c r="F537" s="13"/>
      <c r="G537" s="13"/>
      <c r="H537" s="13"/>
    </row>
    <row r="538" spans="2:8" x14ac:dyDescent="0.2">
      <c r="B538" s="13"/>
      <c r="C538" s="13"/>
      <c r="D538" s="13"/>
      <c r="E538" s="13"/>
      <c r="F538" s="13"/>
      <c r="G538" s="13"/>
      <c r="H538" s="13"/>
    </row>
    <row r="539" spans="2:8" x14ac:dyDescent="0.2">
      <c r="B539" s="13"/>
      <c r="C539" s="13"/>
      <c r="D539" s="13"/>
      <c r="E539" s="13"/>
      <c r="F539" s="13"/>
      <c r="G539" s="13"/>
      <c r="H539" s="13"/>
    </row>
    <row r="540" spans="2:8" x14ac:dyDescent="0.2">
      <c r="B540" s="13"/>
      <c r="C540" s="13"/>
      <c r="D540" s="13"/>
      <c r="E540" s="13"/>
      <c r="F540" s="13"/>
      <c r="G540" s="13"/>
      <c r="H540" s="13"/>
    </row>
    <row r="541" spans="2:8" x14ac:dyDescent="0.2">
      <c r="B541" s="13"/>
      <c r="C541" s="13"/>
      <c r="D541" s="13"/>
      <c r="E541" s="13"/>
      <c r="F541" s="13"/>
      <c r="G541" s="13"/>
      <c r="H541" s="13"/>
    </row>
    <row r="542" spans="2:8" x14ac:dyDescent="0.2">
      <c r="B542" s="13"/>
      <c r="C542" s="13"/>
      <c r="D542" s="13"/>
      <c r="E542" s="13"/>
      <c r="F542" s="13"/>
      <c r="G542" s="13"/>
      <c r="H542" s="13"/>
    </row>
    <row r="543" spans="2:8" x14ac:dyDescent="0.2">
      <c r="B543" s="13"/>
      <c r="C543" s="13"/>
      <c r="D543" s="13"/>
      <c r="E543" s="13"/>
      <c r="F543" s="13"/>
      <c r="G543" s="13"/>
      <c r="H543" s="13"/>
    </row>
    <row r="544" spans="2:8" x14ac:dyDescent="0.2">
      <c r="B544" s="13"/>
      <c r="C544" s="13"/>
      <c r="D544" s="13"/>
      <c r="E544" s="13"/>
      <c r="F544" s="13"/>
      <c r="G544" s="13"/>
      <c r="H544" s="13"/>
    </row>
    <row r="545" spans="2:8" x14ac:dyDescent="0.2">
      <c r="B545" s="13"/>
      <c r="C545" s="13"/>
      <c r="D545" s="13"/>
      <c r="E545" s="13"/>
      <c r="F545" s="13"/>
      <c r="G545" s="13"/>
      <c r="H545" s="13"/>
    </row>
    <row r="546" spans="2:8" x14ac:dyDescent="0.2">
      <c r="B546" s="13"/>
      <c r="C546" s="13"/>
      <c r="D546" s="13"/>
      <c r="E546" s="13"/>
      <c r="F546" s="13"/>
      <c r="G546" s="13"/>
      <c r="H546" s="13"/>
    </row>
    <row r="547" spans="2:8" x14ac:dyDescent="0.2">
      <c r="B547" s="13"/>
      <c r="C547" s="13"/>
      <c r="D547" s="13"/>
      <c r="E547" s="13"/>
      <c r="F547" s="13"/>
      <c r="G547" s="13"/>
      <c r="H547" s="13"/>
    </row>
    <row r="548" spans="2:8" x14ac:dyDescent="0.2">
      <c r="B548" s="13"/>
      <c r="C548" s="13"/>
      <c r="D548" s="13"/>
      <c r="E548" s="13"/>
      <c r="F548" s="13"/>
      <c r="G548" s="13"/>
      <c r="H548" s="13"/>
    </row>
    <row r="549" spans="2:8" x14ac:dyDescent="0.2">
      <c r="B549" s="13"/>
      <c r="C549" s="13"/>
      <c r="D549" s="13"/>
      <c r="E549" s="13"/>
      <c r="F549" s="13"/>
      <c r="G549" s="13"/>
      <c r="H549" s="13"/>
    </row>
    <row r="550" spans="2:8" x14ac:dyDescent="0.2">
      <c r="B550" s="13"/>
      <c r="C550" s="13"/>
      <c r="D550" s="13"/>
      <c r="E550" s="13"/>
      <c r="F550" s="13"/>
      <c r="G550" s="13"/>
      <c r="H550" s="13"/>
    </row>
    <row r="551" spans="2:8" x14ac:dyDescent="0.2">
      <c r="B551" s="13"/>
      <c r="C551" s="13"/>
      <c r="D551" s="13"/>
      <c r="E551" s="13"/>
      <c r="F551" s="13"/>
      <c r="G551" s="13"/>
      <c r="H551" s="13"/>
    </row>
    <row r="552" spans="2:8" x14ac:dyDescent="0.2">
      <c r="B552" s="13"/>
      <c r="C552" s="13"/>
      <c r="D552" s="13"/>
      <c r="E552" s="13"/>
      <c r="F552" s="13"/>
      <c r="G552" s="13"/>
      <c r="H552" s="13"/>
    </row>
    <row r="553" spans="2:8" x14ac:dyDescent="0.2">
      <c r="B553" s="13"/>
      <c r="C553" s="13"/>
      <c r="D553" s="13"/>
      <c r="E553" s="13"/>
      <c r="F553" s="13"/>
      <c r="G553" s="13"/>
      <c r="H553" s="13"/>
    </row>
    <row r="554" spans="2:8" x14ac:dyDescent="0.2">
      <c r="B554" s="13"/>
      <c r="C554" s="13"/>
      <c r="D554" s="13"/>
      <c r="E554" s="13"/>
      <c r="F554" s="13"/>
      <c r="G554" s="13"/>
      <c r="H554" s="13"/>
    </row>
    <row r="555" spans="2:8" x14ac:dyDescent="0.2">
      <c r="B555" s="13"/>
      <c r="C555" s="13"/>
      <c r="D555" s="13"/>
      <c r="E555" s="13"/>
      <c r="F555" s="13"/>
      <c r="G555" s="13"/>
      <c r="H555" s="13"/>
    </row>
    <row r="556" spans="2:8" x14ac:dyDescent="0.2">
      <c r="B556" s="13"/>
      <c r="C556" s="13"/>
      <c r="D556" s="13"/>
      <c r="E556" s="13"/>
      <c r="F556" s="13"/>
      <c r="G556" s="13"/>
      <c r="H556" s="13"/>
    </row>
    <row r="557" spans="2:8" x14ac:dyDescent="0.2">
      <c r="B557" s="13"/>
      <c r="C557" s="13"/>
      <c r="D557" s="13"/>
      <c r="E557" s="13"/>
      <c r="F557" s="13"/>
      <c r="G557" s="13"/>
      <c r="H557" s="13"/>
    </row>
    <row r="558" spans="2:8" x14ac:dyDescent="0.2">
      <c r="B558" s="13"/>
      <c r="C558" s="13"/>
      <c r="D558" s="13"/>
      <c r="E558" s="13"/>
      <c r="F558" s="13"/>
      <c r="G558" s="13"/>
      <c r="H558" s="13"/>
    </row>
    <row r="559" spans="2:8" x14ac:dyDescent="0.2">
      <c r="B559" s="13"/>
      <c r="C559" s="13"/>
      <c r="D559" s="13"/>
      <c r="E559" s="13"/>
      <c r="F559" s="13"/>
      <c r="G559" s="13"/>
      <c r="H559" s="13"/>
    </row>
    <row r="560" spans="2:8" x14ac:dyDescent="0.2">
      <c r="B560" s="13"/>
      <c r="C560" s="13"/>
      <c r="D560" s="13"/>
      <c r="E560" s="13"/>
      <c r="F560" s="13"/>
      <c r="G560" s="13"/>
      <c r="H560" s="13"/>
    </row>
    <row r="561" spans="2:8" x14ac:dyDescent="0.2">
      <c r="B561" s="13"/>
      <c r="C561" s="13"/>
      <c r="D561" s="13"/>
      <c r="E561" s="13"/>
      <c r="F561" s="13"/>
      <c r="G561" s="13"/>
      <c r="H561" s="13"/>
    </row>
    <row r="562" spans="2:8" x14ac:dyDescent="0.2">
      <c r="B562" s="13"/>
      <c r="C562" s="13"/>
      <c r="D562" s="13"/>
      <c r="E562" s="13"/>
      <c r="F562" s="13"/>
      <c r="G562" s="13"/>
      <c r="H562" s="13"/>
    </row>
    <row r="563" spans="2:8" x14ac:dyDescent="0.2">
      <c r="B563" s="13"/>
      <c r="C563" s="13"/>
      <c r="D563" s="13"/>
      <c r="E563" s="13"/>
      <c r="F563" s="13"/>
      <c r="G563" s="13"/>
      <c r="H563" s="13"/>
    </row>
    <row r="564" spans="2:8" x14ac:dyDescent="0.2">
      <c r="B564" s="13"/>
      <c r="C564" s="13"/>
      <c r="D564" s="13"/>
      <c r="E564" s="13"/>
      <c r="F564" s="13"/>
      <c r="G564" s="13"/>
      <c r="H564" s="13"/>
    </row>
    <row r="565" spans="2:8" x14ac:dyDescent="0.2">
      <c r="B565" s="13"/>
      <c r="C565" s="13"/>
      <c r="D565" s="13"/>
      <c r="E565" s="13"/>
      <c r="F565" s="13"/>
      <c r="G565" s="13"/>
      <c r="H565" s="13"/>
    </row>
    <row r="566" spans="2:8" x14ac:dyDescent="0.2">
      <c r="B566" s="13"/>
      <c r="C566" s="13"/>
      <c r="D566" s="13"/>
      <c r="E566" s="13"/>
      <c r="F566" s="13"/>
      <c r="G566" s="13"/>
      <c r="H566" s="13"/>
    </row>
    <row r="567" spans="2:8" x14ac:dyDescent="0.2">
      <c r="B567" s="13"/>
      <c r="C567" s="13"/>
      <c r="D567" s="13"/>
      <c r="E567" s="13"/>
      <c r="F567" s="13"/>
      <c r="G567" s="13"/>
      <c r="H567" s="13"/>
    </row>
    <row r="568" spans="2:8" x14ac:dyDescent="0.2">
      <c r="B568" s="13"/>
      <c r="C568" s="13"/>
      <c r="D568" s="13"/>
      <c r="E568" s="13"/>
      <c r="F568" s="13"/>
      <c r="G568" s="13"/>
      <c r="H568" s="13"/>
    </row>
    <row r="569" spans="2:8" x14ac:dyDescent="0.2">
      <c r="B569" s="13"/>
      <c r="C569" s="13"/>
      <c r="D569" s="13"/>
      <c r="E569" s="13"/>
      <c r="F569" s="13"/>
      <c r="G569" s="13"/>
      <c r="H569" s="13"/>
    </row>
    <row r="570" spans="2:8" x14ac:dyDescent="0.2">
      <c r="B570" s="13"/>
      <c r="C570" s="13"/>
      <c r="D570" s="13"/>
      <c r="E570" s="13"/>
      <c r="F570" s="13"/>
      <c r="G570" s="13"/>
      <c r="H570" s="13"/>
    </row>
    <row r="571" spans="2:8" x14ac:dyDescent="0.2">
      <c r="B571" s="13"/>
      <c r="C571" s="13"/>
      <c r="D571" s="13"/>
      <c r="E571" s="13"/>
      <c r="F571" s="13"/>
      <c r="G571" s="13"/>
      <c r="H571" s="13"/>
    </row>
    <row r="572" spans="2:8" x14ac:dyDescent="0.2">
      <c r="B572" s="13"/>
      <c r="C572" s="13"/>
      <c r="D572" s="13"/>
      <c r="E572" s="13"/>
      <c r="F572" s="13"/>
      <c r="G572" s="13"/>
      <c r="H572" s="13"/>
    </row>
    <row r="573" spans="2:8" x14ac:dyDescent="0.2">
      <c r="B573" s="13"/>
      <c r="C573" s="13"/>
      <c r="D573" s="13"/>
      <c r="E573" s="13"/>
      <c r="F573" s="13"/>
      <c r="G573" s="13"/>
      <c r="H573" s="13"/>
    </row>
    <row r="574" spans="2:8" x14ac:dyDescent="0.2">
      <c r="B574" s="13"/>
      <c r="C574" s="13"/>
      <c r="D574" s="13"/>
      <c r="E574" s="13"/>
      <c r="F574" s="13"/>
      <c r="G574" s="13"/>
      <c r="H574" s="13"/>
    </row>
    <row r="575" spans="2:8" x14ac:dyDescent="0.2">
      <c r="B575" s="13"/>
      <c r="C575" s="13"/>
      <c r="D575" s="13"/>
      <c r="E575" s="13"/>
      <c r="F575" s="13"/>
      <c r="G575" s="13"/>
      <c r="H575" s="13"/>
    </row>
    <row r="576" spans="2:8" x14ac:dyDescent="0.2">
      <c r="B576" s="13"/>
      <c r="C576" s="13"/>
      <c r="D576" s="13"/>
      <c r="E576" s="13"/>
      <c r="F576" s="13"/>
      <c r="G576" s="13"/>
      <c r="H576" s="13"/>
    </row>
    <row r="577" spans="2:8" x14ac:dyDescent="0.2">
      <c r="B577" s="13"/>
      <c r="C577" s="13"/>
      <c r="D577" s="13"/>
      <c r="E577" s="13"/>
      <c r="F577" s="13"/>
      <c r="G577" s="13"/>
      <c r="H577" s="13"/>
    </row>
    <row r="578" spans="2:8" x14ac:dyDescent="0.2">
      <c r="B578" s="13"/>
      <c r="C578" s="13"/>
      <c r="D578" s="13"/>
      <c r="E578" s="13"/>
      <c r="F578" s="13"/>
      <c r="G578" s="13"/>
      <c r="H578" s="13"/>
    </row>
    <row r="579" spans="2:8" x14ac:dyDescent="0.2">
      <c r="B579" s="13"/>
      <c r="C579" s="13"/>
      <c r="D579" s="13"/>
      <c r="E579" s="13"/>
      <c r="F579" s="13"/>
      <c r="G579" s="13"/>
      <c r="H579" s="13"/>
    </row>
    <row r="580" spans="2:8" x14ac:dyDescent="0.2">
      <c r="B580" s="13"/>
      <c r="C580" s="13"/>
      <c r="D580" s="13"/>
      <c r="E580" s="13"/>
      <c r="F580" s="13"/>
      <c r="G580" s="13"/>
      <c r="H580" s="13"/>
    </row>
    <row r="581" spans="2:8" x14ac:dyDescent="0.2">
      <c r="B581" s="13"/>
      <c r="C581" s="13"/>
      <c r="D581" s="13"/>
      <c r="E581" s="13"/>
      <c r="F581" s="13"/>
      <c r="G581" s="13"/>
      <c r="H581" s="13"/>
    </row>
    <row r="582" spans="2:8" x14ac:dyDescent="0.2">
      <c r="B582" s="13"/>
      <c r="C582" s="13"/>
      <c r="D582" s="13"/>
      <c r="E582" s="13"/>
      <c r="F582" s="13"/>
      <c r="G582" s="13"/>
      <c r="H582" s="13"/>
    </row>
    <row r="583" spans="2:8" x14ac:dyDescent="0.2">
      <c r="B583" s="13"/>
      <c r="C583" s="13"/>
      <c r="D583" s="13"/>
      <c r="E583" s="13"/>
      <c r="F583" s="13"/>
      <c r="G583" s="13"/>
      <c r="H583" s="13"/>
    </row>
    <row r="584" spans="2:8" x14ac:dyDescent="0.2">
      <c r="B584" s="13"/>
      <c r="C584" s="13"/>
      <c r="D584" s="13"/>
      <c r="E584" s="13"/>
      <c r="F584" s="13"/>
      <c r="G584" s="13"/>
      <c r="H584" s="13"/>
    </row>
    <row r="585" spans="2:8" x14ac:dyDescent="0.2">
      <c r="B585" s="13"/>
      <c r="C585" s="13"/>
      <c r="D585" s="13"/>
      <c r="E585" s="13"/>
      <c r="F585" s="13"/>
      <c r="G585" s="13"/>
      <c r="H585" s="13"/>
    </row>
    <row r="586" spans="2:8" x14ac:dyDescent="0.2">
      <c r="B586" s="13"/>
      <c r="C586" s="13"/>
      <c r="D586" s="13"/>
      <c r="E586" s="13"/>
      <c r="F586" s="13"/>
      <c r="G586" s="13"/>
      <c r="H586" s="13"/>
    </row>
    <row r="587" spans="2:8" x14ac:dyDescent="0.2">
      <c r="B587" s="13"/>
      <c r="C587" s="13"/>
      <c r="D587" s="13"/>
      <c r="E587" s="13"/>
      <c r="F587" s="13"/>
      <c r="G587" s="13"/>
      <c r="H587" s="13"/>
    </row>
    <row r="588" spans="2:8" x14ac:dyDescent="0.2">
      <c r="B588" s="13"/>
      <c r="C588" s="13"/>
      <c r="D588" s="13"/>
      <c r="E588" s="13"/>
      <c r="F588" s="13"/>
      <c r="G588" s="13"/>
      <c r="H588" s="13"/>
    </row>
    <row r="589" spans="2:8" x14ac:dyDescent="0.2">
      <c r="B589" s="13"/>
      <c r="C589" s="13"/>
      <c r="D589" s="13"/>
      <c r="E589" s="13"/>
      <c r="F589" s="13"/>
      <c r="G589" s="13"/>
      <c r="H589" s="13"/>
    </row>
    <row r="590" spans="2:8" x14ac:dyDescent="0.2">
      <c r="B590" s="13"/>
      <c r="C590" s="13"/>
      <c r="D590" s="13"/>
      <c r="E590" s="13"/>
      <c r="F590" s="13"/>
      <c r="G590" s="13"/>
      <c r="H590" s="13"/>
    </row>
    <row r="591" spans="2:8" x14ac:dyDescent="0.2">
      <c r="B591" s="13"/>
      <c r="C591" s="13"/>
      <c r="D591" s="13"/>
      <c r="E591" s="13"/>
      <c r="F591" s="13"/>
      <c r="G591" s="13"/>
      <c r="H591" s="13"/>
    </row>
    <row r="592" spans="2:8" x14ac:dyDescent="0.2">
      <c r="B592" s="13"/>
      <c r="C592" s="13"/>
      <c r="D592" s="13"/>
      <c r="E592" s="13"/>
      <c r="F592" s="13"/>
      <c r="G592" s="13"/>
      <c r="H592" s="13"/>
    </row>
    <row r="593" spans="2:8" x14ac:dyDescent="0.2">
      <c r="B593" s="13"/>
      <c r="C593" s="13"/>
      <c r="D593" s="13"/>
      <c r="E593" s="13"/>
      <c r="F593" s="13"/>
      <c r="G593" s="13"/>
      <c r="H593" s="13"/>
    </row>
    <row r="594" spans="2:8" x14ac:dyDescent="0.2">
      <c r="B594" s="13"/>
      <c r="C594" s="13"/>
      <c r="D594" s="13"/>
      <c r="E594" s="13"/>
      <c r="F594" s="13"/>
      <c r="G594" s="13"/>
      <c r="H594" s="13"/>
    </row>
    <row r="595" spans="2:8" x14ac:dyDescent="0.2">
      <c r="B595" s="13"/>
      <c r="C595" s="13"/>
      <c r="D595" s="13"/>
      <c r="E595" s="13"/>
      <c r="F595" s="13"/>
      <c r="G595" s="13"/>
      <c r="H595" s="13"/>
    </row>
    <row r="596" spans="2:8" x14ac:dyDescent="0.2">
      <c r="B596" s="13"/>
      <c r="C596" s="13"/>
      <c r="D596" s="13"/>
      <c r="E596" s="13"/>
      <c r="F596" s="13"/>
      <c r="G596" s="13"/>
      <c r="H596" s="13"/>
    </row>
    <row r="597" spans="2:8" x14ac:dyDescent="0.2">
      <c r="B597" s="13"/>
      <c r="C597" s="13"/>
      <c r="D597" s="13"/>
      <c r="E597" s="13"/>
      <c r="F597" s="13"/>
      <c r="G597" s="13"/>
      <c r="H597" s="13"/>
    </row>
    <row r="598" spans="2:8" x14ac:dyDescent="0.2">
      <c r="B598" s="13"/>
      <c r="C598" s="13"/>
      <c r="D598" s="13"/>
      <c r="E598" s="13"/>
      <c r="F598" s="13"/>
      <c r="G598" s="13"/>
      <c r="H598" s="13"/>
    </row>
    <row r="599" spans="2:8" x14ac:dyDescent="0.2">
      <c r="B599" s="13"/>
      <c r="C599" s="13"/>
      <c r="D599" s="13"/>
      <c r="E599" s="13"/>
      <c r="F599" s="13"/>
      <c r="G599" s="13"/>
      <c r="H599" s="13"/>
    </row>
    <row r="600" spans="2:8" x14ac:dyDescent="0.2">
      <c r="B600" s="13"/>
      <c r="C600" s="13"/>
      <c r="D600" s="13"/>
      <c r="E600" s="13"/>
      <c r="F600" s="13"/>
      <c r="G600" s="13"/>
      <c r="H600" s="13"/>
    </row>
    <row r="601" spans="2:8" x14ac:dyDescent="0.2">
      <c r="B601" s="13"/>
      <c r="C601" s="13"/>
      <c r="D601" s="13"/>
      <c r="E601" s="13"/>
      <c r="F601" s="13"/>
      <c r="G601" s="13"/>
      <c r="H601" s="13"/>
    </row>
    <row r="602" spans="2:8" x14ac:dyDescent="0.2">
      <c r="B602" s="13"/>
      <c r="C602" s="13"/>
      <c r="D602" s="13"/>
      <c r="E602" s="13"/>
      <c r="F602" s="13"/>
      <c r="G602" s="13"/>
      <c r="H602" s="13"/>
    </row>
    <row r="603" spans="2:8" x14ac:dyDescent="0.2">
      <c r="B603" s="13"/>
      <c r="C603" s="13"/>
      <c r="D603" s="13"/>
      <c r="E603" s="13"/>
      <c r="F603" s="13"/>
      <c r="G603" s="13"/>
      <c r="H603" s="13"/>
    </row>
    <row r="604" spans="2:8" x14ac:dyDescent="0.2">
      <c r="B604" s="13"/>
      <c r="C604" s="13"/>
      <c r="D604" s="13"/>
      <c r="E604" s="13"/>
      <c r="F604" s="13"/>
      <c r="G604" s="13"/>
      <c r="H604" s="13"/>
    </row>
    <row r="605" spans="2:8" x14ac:dyDescent="0.2">
      <c r="B605" s="13"/>
      <c r="C605" s="13"/>
      <c r="D605" s="13"/>
      <c r="E605" s="13"/>
      <c r="F605" s="13"/>
      <c r="G605" s="13"/>
      <c r="H605" s="13"/>
    </row>
    <row r="606" spans="2:8" x14ac:dyDescent="0.2">
      <c r="B606" s="13"/>
      <c r="C606" s="13"/>
      <c r="D606" s="13"/>
      <c r="E606" s="13"/>
      <c r="F606" s="13"/>
      <c r="G606" s="13"/>
      <c r="H606" s="13"/>
    </row>
    <row r="607" spans="2:8" x14ac:dyDescent="0.2">
      <c r="B607" s="13"/>
      <c r="C607" s="13"/>
      <c r="D607" s="13"/>
      <c r="E607" s="13"/>
      <c r="F607" s="13"/>
      <c r="G607" s="13"/>
      <c r="H607" s="13"/>
    </row>
    <row r="608" spans="2:8" x14ac:dyDescent="0.2">
      <c r="B608" s="13"/>
      <c r="C608" s="13"/>
      <c r="D608" s="13"/>
      <c r="E608" s="13"/>
      <c r="F608" s="13"/>
      <c r="G608" s="13"/>
      <c r="H608" s="13"/>
    </row>
    <row r="609" spans="2:8" x14ac:dyDescent="0.2">
      <c r="B609" s="13"/>
      <c r="C609" s="13"/>
      <c r="D609" s="13"/>
      <c r="E609" s="13"/>
      <c r="F609" s="13"/>
      <c r="G609" s="13"/>
      <c r="H609" s="13"/>
    </row>
    <row r="610" spans="2:8" x14ac:dyDescent="0.2">
      <c r="B610" s="13"/>
      <c r="C610" s="13"/>
      <c r="D610" s="13"/>
      <c r="E610" s="13"/>
      <c r="F610" s="13"/>
      <c r="G610" s="13"/>
      <c r="H610" s="13"/>
    </row>
    <row r="611" spans="2:8" x14ac:dyDescent="0.2">
      <c r="B611" s="13"/>
      <c r="C611" s="13"/>
      <c r="D611" s="13"/>
      <c r="E611" s="13"/>
      <c r="F611" s="13"/>
      <c r="G611" s="13"/>
      <c r="H611" s="13"/>
    </row>
    <row r="612" spans="2:8" x14ac:dyDescent="0.2">
      <c r="B612" s="13"/>
      <c r="C612" s="13"/>
      <c r="D612" s="13"/>
      <c r="E612" s="13"/>
      <c r="F612" s="13"/>
      <c r="G612" s="13"/>
      <c r="H612" s="13"/>
    </row>
    <row r="613" spans="2:8" x14ac:dyDescent="0.2">
      <c r="B613" s="13"/>
      <c r="C613" s="13"/>
      <c r="D613" s="13"/>
      <c r="E613" s="13"/>
      <c r="F613" s="13"/>
      <c r="G613" s="13"/>
      <c r="H613" s="13"/>
    </row>
    <row r="614" spans="2:8" x14ac:dyDescent="0.2">
      <c r="B614" s="13"/>
      <c r="C614" s="13"/>
      <c r="D614" s="13"/>
      <c r="E614" s="13"/>
      <c r="F614" s="13"/>
      <c r="G614" s="13"/>
      <c r="H614" s="13"/>
    </row>
    <row r="615" spans="2:8" x14ac:dyDescent="0.2">
      <c r="B615" s="13"/>
      <c r="C615" s="13"/>
      <c r="D615" s="13"/>
      <c r="E615" s="13"/>
      <c r="F615" s="13"/>
      <c r="G615" s="13"/>
      <c r="H615" s="13"/>
    </row>
    <row r="616" spans="2:8" x14ac:dyDescent="0.2">
      <c r="B616" s="13"/>
      <c r="C616" s="13"/>
      <c r="D616" s="13"/>
      <c r="E616" s="13"/>
      <c r="F616" s="13"/>
      <c r="G616" s="13"/>
      <c r="H616" s="13"/>
    </row>
    <row r="617" spans="2:8" x14ac:dyDescent="0.2">
      <c r="B617" s="13"/>
      <c r="C617" s="13"/>
      <c r="D617" s="13"/>
      <c r="E617" s="13"/>
      <c r="F617" s="13"/>
      <c r="G617" s="13"/>
      <c r="H617" s="13"/>
    </row>
    <row r="618" spans="2:8" x14ac:dyDescent="0.2">
      <c r="B618" s="13"/>
      <c r="C618" s="13"/>
      <c r="D618" s="13"/>
      <c r="E618" s="13"/>
      <c r="F618" s="13"/>
      <c r="G618" s="13"/>
      <c r="H618" s="13"/>
    </row>
    <row r="619" spans="2:8" x14ac:dyDescent="0.2">
      <c r="B619" s="13"/>
      <c r="C619" s="13"/>
      <c r="D619" s="13"/>
      <c r="E619" s="13"/>
      <c r="F619" s="13"/>
      <c r="G619" s="13"/>
      <c r="H619" s="13"/>
    </row>
    <row r="620" spans="2:8" x14ac:dyDescent="0.2">
      <c r="B620" s="13"/>
      <c r="C620" s="13"/>
      <c r="D620" s="13"/>
      <c r="E620" s="13"/>
      <c r="F620" s="13"/>
      <c r="G620" s="13"/>
      <c r="H620" s="13"/>
    </row>
    <row r="621" spans="2:8" x14ac:dyDescent="0.2">
      <c r="B621" s="13"/>
      <c r="C621" s="13"/>
      <c r="D621" s="13"/>
      <c r="E621" s="13"/>
      <c r="F621" s="13"/>
      <c r="G621" s="13"/>
      <c r="H621" s="13"/>
    </row>
    <row r="622" spans="2:8" x14ac:dyDescent="0.2">
      <c r="B622" s="13"/>
      <c r="C622" s="13"/>
      <c r="D622" s="13"/>
      <c r="E622" s="13"/>
      <c r="F622" s="13"/>
      <c r="G622" s="13"/>
      <c r="H622" s="13"/>
    </row>
    <row r="623" spans="2:8" x14ac:dyDescent="0.2">
      <c r="B623" s="13"/>
      <c r="C623" s="13"/>
      <c r="D623" s="13"/>
      <c r="E623" s="13"/>
      <c r="F623" s="13"/>
      <c r="G623" s="13"/>
      <c r="H623" s="13"/>
    </row>
    <row r="624" spans="2:8" x14ac:dyDescent="0.2">
      <c r="B624" s="13"/>
      <c r="C624" s="13"/>
      <c r="D624" s="13"/>
      <c r="E624" s="13"/>
      <c r="F624" s="13"/>
      <c r="G624" s="13"/>
      <c r="H624" s="13"/>
    </row>
    <row r="625" spans="2:8" x14ac:dyDescent="0.2">
      <c r="B625" s="13"/>
      <c r="C625" s="13"/>
      <c r="D625" s="13"/>
      <c r="E625" s="13"/>
      <c r="F625" s="13"/>
      <c r="G625" s="13"/>
      <c r="H625" s="13"/>
    </row>
    <row r="626" spans="2:8" x14ac:dyDescent="0.2">
      <c r="B626" s="13"/>
      <c r="C626" s="13"/>
      <c r="D626" s="13"/>
      <c r="E626" s="13"/>
      <c r="F626" s="13"/>
      <c r="G626" s="13"/>
      <c r="H626" s="13"/>
    </row>
    <row r="627" spans="2:8" x14ac:dyDescent="0.2">
      <c r="B627" s="13"/>
      <c r="C627" s="13"/>
      <c r="D627" s="13"/>
      <c r="E627" s="13"/>
      <c r="F627" s="13"/>
      <c r="G627" s="13"/>
      <c r="H627" s="13"/>
    </row>
    <row r="628" spans="2:8" x14ac:dyDescent="0.2">
      <c r="B628" s="13"/>
      <c r="C628" s="13"/>
      <c r="D628" s="13"/>
      <c r="E628" s="13"/>
      <c r="F628" s="13"/>
      <c r="G628" s="13"/>
      <c r="H628" s="13"/>
    </row>
    <row r="629" spans="2:8" x14ac:dyDescent="0.2">
      <c r="B629" s="13"/>
      <c r="C629" s="13"/>
      <c r="D629" s="13"/>
      <c r="E629" s="13"/>
      <c r="F629" s="13"/>
      <c r="G629" s="13"/>
      <c r="H629" s="13"/>
    </row>
    <row r="630" spans="2:8" x14ac:dyDescent="0.2">
      <c r="B630" s="13"/>
      <c r="C630" s="13"/>
      <c r="D630" s="13"/>
      <c r="E630" s="13"/>
      <c r="F630" s="13"/>
      <c r="G630" s="13"/>
      <c r="H630" s="13"/>
    </row>
    <row r="631" spans="2:8" x14ac:dyDescent="0.2">
      <c r="B631" s="13"/>
      <c r="C631" s="13"/>
      <c r="D631" s="13"/>
      <c r="E631" s="13"/>
      <c r="F631" s="13"/>
      <c r="G631" s="13"/>
      <c r="H631" s="13"/>
    </row>
    <row r="632" spans="2:8" x14ac:dyDescent="0.2">
      <c r="B632" s="13"/>
      <c r="C632" s="13"/>
      <c r="D632" s="13"/>
      <c r="E632" s="13"/>
      <c r="F632" s="13"/>
      <c r="G632" s="13"/>
      <c r="H632" s="13"/>
    </row>
  </sheetData>
  <mergeCells count="9">
    <mergeCell ref="A1:H1"/>
    <mergeCell ref="A2:H2"/>
    <mergeCell ref="A3:H3"/>
    <mergeCell ref="A11:F11"/>
    <mergeCell ref="A5:H5"/>
    <mergeCell ref="A6:H6"/>
    <mergeCell ref="A7:H7"/>
    <mergeCell ref="A9:H9"/>
    <mergeCell ref="A10:F10"/>
  </mergeCells>
  <pageMargins left="0.78740157480314965" right="0.39370078740157483" top="0.59055118110236227" bottom="0.94488188976377963" header="0.31496062992125984" footer="0.31496062992125984"/>
  <pageSetup paperSize="9" scale="65" fitToHeight="18" orientation="portrait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8"/>
  <sheetViews>
    <sheetView tabSelected="1" workbookViewId="0">
      <selection activeCell="A23" sqref="A1:H23"/>
    </sheetView>
  </sheetViews>
  <sheetFormatPr defaultRowHeight="12.75" x14ac:dyDescent="0.2"/>
  <cols>
    <col min="1" max="1" width="61.140625" style="13" customWidth="1"/>
    <col min="2" max="2" width="4.85546875" style="45" customWidth="1"/>
    <col min="3" max="3" width="6.140625" style="45" customWidth="1"/>
    <col min="4" max="4" width="16.85546875" style="45" customWidth="1"/>
    <col min="5" max="5" width="5.85546875" style="45" customWidth="1"/>
    <col min="6" max="7" width="14.85546875" style="45" customWidth="1"/>
    <col min="8" max="8" width="17" style="45" customWidth="1"/>
    <col min="9" max="9" width="14.7109375" style="13" customWidth="1"/>
    <col min="10" max="16384" width="9.140625" style="13"/>
  </cols>
  <sheetData>
    <row r="1" spans="1:14" ht="14.25" x14ac:dyDescent="0.3">
      <c r="A1" s="74" t="s">
        <v>408</v>
      </c>
      <c r="B1" s="74" t="s">
        <v>358</v>
      </c>
      <c r="C1" s="74" t="s">
        <v>358</v>
      </c>
      <c r="D1" s="74" t="s">
        <v>358</v>
      </c>
      <c r="E1" s="74" t="s">
        <v>358</v>
      </c>
      <c r="F1" s="74" t="s">
        <v>358</v>
      </c>
      <c r="G1" s="74" t="s">
        <v>358</v>
      </c>
      <c r="H1" s="74" t="s">
        <v>358</v>
      </c>
    </row>
    <row r="2" spans="1:14" ht="14.25" x14ac:dyDescent="0.3">
      <c r="A2" s="74" t="s">
        <v>70</v>
      </c>
      <c r="B2" s="74" t="s">
        <v>70</v>
      </c>
      <c r="C2" s="74" t="s">
        <v>70</v>
      </c>
      <c r="D2" s="74" t="s">
        <v>70</v>
      </c>
      <c r="E2" s="74" t="s">
        <v>70</v>
      </c>
      <c r="F2" s="74" t="s">
        <v>70</v>
      </c>
      <c r="G2" s="74" t="s">
        <v>70</v>
      </c>
      <c r="H2" s="74" t="s">
        <v>70</v>
      </c>
    </row>
    <row r="3" spans="1:14" ht="14.25" x14ac:dyDescent="0.3">
      <c r="A3" s="74" t="s">
        <v>398</v>
      </c>
      <c r="B3" s="74" t="s">
        <v>359</v>
      </c>
      <c r="C3" s="74" t="s">
        <v>359</v>
      </c>
      <c r="D3" s="74" t="s">
        <v>359</v>
      </c>
      <c r="E3" s="74" t="s">
        <v>359</v>
      </c>
      <c r="F3" s="74" t="s">
        <v>359</v>
      </c>
      <c r="G3" s="74" t="s">
        <v>359</v>
      </c>
      <c r="H3" s="74" t="s">
        <v>359</v>
      </c>
    </row>
    <row r="5" spans="1:14" x14ac:dyDescent="0.2">
      <c r="A5" s="76" t="s">
        <v>75</v>
      </c>
      <c r="B5" s="76" t="s">
        <v>358</v>
      </c>
      <c r="C5" s="76" t="s">
        <v>358</v>
      </c>
      <c r="D5" s="76" t="s">
        <v>358</v>
      </c>
      <c r="E5" s="76" t="s">
        <v>358</v>
      </c>
      <c r="F5" s="76" t="s">
        <v>358</v>
      </c>
      <c r="G5" s="76" t="s">
        <v>358</v>
      </c>
      <c r="H5" s="76" t="s">
        <v>358</v>
      </c>
    </row>
    <row r="6" spans="1:14" x14ac:dyDescent="0.2">
      <c r="A6" s="76" t="s">
        <v>70</v>
      </c>
      <c r="B6" s="76" t="s">
        <v>70</v>
      </c>
      <c r="C6" s="76" t="s">
        <v>70</v>
      </c>
      <c r="D6" s="76" t="s">
        <v>70</v>
      </c>
      <c r="E6" s="76" t="s">
        <v>70</v>
      </c>
      <c r="F6" s="76" t="s">
        <v>70</v>
      </c>
      <c r="G6" s="76" t="s">
        <v>70</v>
      </c>
      <c r="H6" s="76" t="s">
        <v>70</v>
      </c>
    </row>
    <row r="7" spans="1:14" x14ac:dyDescent="0.2">
      <c r="A7" s="76" t="s">
        <v>399</v>
      </c>
      <c r="B7" s="76" t="s">
        <v>359</v>
      </c>
      <c r="C7" s="76" t="s">
        <v>359</v>
      </c>
      <c r="D7" s="76" t="s">
        <v>359</v>
      </c>
      <c r="E7" s="76" t="s">
        <v>359</v>
      </c>
      <c r="F7" s="76" t="s">
        <v>359</v>
      </c>
      <c r="G7" s="76" t="s">
        <v>359</v>
      </c>
      <c r="H7" s="76" t="s">
        <v>359</v>
      </c>
    </row>
    <row r="8" spans="1:14" x14ac:dyDescent="0.2">
      <c r="A8" s="31"/>
      <c r="B8" s="31"/>
      <c r="C8" s="31"/>
      <c r="D8" s="31"/>
      <c r="E8" s="32"/>
      <c r="F8" s="31"/>
      <c r="G8" s="31"/>
      <c r="H8" s="31"/>
    </row>
    <row r="9" spans="1:14" s="15" customFormat="1" ht="75" customHeight="1" x14ac:dyDescent="0.2">
      <c r="A9" s="75" t="s">
        <v>371</v>
      </c>
      <c r="B9" s="75"/>
      <c r="C9" s="75"/>
      <c r="D9" s="75"/>
      <c r="E9" s="75"/>
      <c r="F9" s="75"/>
      <c r="G9" s="75"/>
      <c r="H9" s="75"/>
    </row>
    <row r="10" spans="1:14" s="15" customFormat="1" ht="9.75" customHeight="1" x14ac:dyDescent="0.2">
      <c r="A10" s="75"/>
      <c r="B10" s="75"/>
      <c r="C10" s="75"/>
      <c r="D10" s="75"/>
      <c r="E10" s="75"/>
      <c r="F10" s="75"/>
    </row>
    <row r="11" spans="1:14" s="16" customFormat="1" ht="12" thickBot="1" x14ac:dyDescent="0.25">
      <c r="A11" s="73"/>
      <c r="B11" s="73"/>
      <c r="C11" s="73"/>
      <c r="D11" s="73"/>
      <c r="E11" s="73"/>
      <c r="F11" s="73"/>
      <c r="H11" s="48" t="s">
        <v>7</v>
      </c>
    </row>
    <row r="12" spans="1:14" ht="42.75" x14ac:dyDescent="0.2">
      <c r="A12" s="17"/>
      <c r="B12" s="18" t="s">
        <v>22</v>
      </c>
      <c r="C12" s="18" t="s">
        <v>3</v>
      </c>
      <c r="D12" s="18" t="s">
        <v>23</v>
      </c>
      <c r="E12" s="18" t="s">
        <v>24</v>
      </c>
      <c r="F12" s="19" t="s">
        <v>133</v>
      </c>
      <c r="G12" s="19" t="s">
        <v>132</v>
      </c>
      <c r="H12" s="19" t="s">
        <v>372</v>
      </c>
    </row>
    <row r="13" spans="1:14" s="56" customFormat="1" ht="12" x14ac:dyDescent="0.2">
      <c r="A13" s="54">
        <v>1</v>
      </c>
      <c r="B13" s="57">
        <v>2</v>
      </c>
      <c r="C13" s="57">
        <v>3</v>
      </c>
      <c r="D13" s="57">
        <v>4</v>
      </c>
      <c r="E13" s="57">
        <v>5</v>
      </c>
      <c r="F13" s="55">
        <v>6</v>
      </c>
      <c r="G13" s="55">
        <v>7</v>
      </c>
      <c r="H13" s="55">
        <v>8</v>
      </c>
    </row>
    <row r="14" spans="1:14" ht="15.75" x14ac:dyDescent="0.25">
      <c r="A14" s="35" t="s">
        <v>40</v>
      </c>
      <c r="B14" s="33" t="s">
        <v>32</v>
      </c>
      <c r="C14" s="33" t="s">
        <v>26</v>
      </c>
      <c r="D14" s="33"/>
      <c r="E14" s="33"/>
      <c r="F14" s="34">
        <v>248068</v>
      </c>
      <c r="G14" s="34">
        <v>65004.9</v>
      </c>
      <c r="H14" s="34">
        <v>44419.200000000004</v>
      </c>
    </row>
    <row r="15" spans="1:14" x14ac:dyDescent="0.2">
      <c r="A15" s="14" t="s">
        <v>71</v>
      </c>
      <c r="B15" s="11" t="s">
        <v>32</v>
      </c>
      <c r="C15" s="11" t="s">
        <v>39</v>
      </c>
      <c r="D15" s="11"/>
      <c r="E15" s="11"/>
      <c r="F15" s="12">
        <v>199745.5</v>
      </c>
      <c r="G15" s="12">
        <v>62634</v>
      </c>
      <c r="H15" s="12">
        <v>42048.3</v>
      </c>
    </row>
    <row r="16" spans="1:14" ht="69" customHeight="1" x14ac:dyDescent="0.2">
      <c r="A16" s="10" t="s">
        <v>393</v>
      </c>
      <c r="B16" s="8" t="s">
        <v>32</v>
      </c>
      <c r="C16" s="8" t="s">
        <v>39</v>
      </c>
      <c r="D16" s="8" t="s">
        <v>394</v>
      </c>
      <c r="E16" s="8"/>
      <c r="F16" s="9">
        <v>85000</v>
      </c>
      <c r="G16" s="9">
        <v>0</v>
      </c>
      <c r="H16" s="9">
        <v>0</v>
      </c>
      <c r="M16" s="26"/>
      <c r="N16" s="26"/>
    </row>
    <row r="17" spans="1:14" s="26" customFormat="1" ht="25.5" x14ac:dyDescent="0.2">
      <c r="A17" s="27" t="s">
        <v>215</v>
      </c>
      <c r="B17" s="23" t="s">
        <v>32</v>
      </c>
      <c r="C17" s="23" t="s">
        <v>39</v>
      </c>
      <c r="D17" s="23" t="s">
        <v>394</v>
      </c>
      <c r="E17" s="23" t="s">
        <v>8</v>
      </c>
      <c r="F17" s="25">
        <v>85000</v>
      </c>
      <c r="G17" s="25">
        <v>0</v>
      </c>
      <c r="H17" s="25">
        <v>0</v>
      </c>
      <c r="I17" s="13"/>
      <c r="J17" s="13"/>
      <c r="K17" s="13"/>
      <c r="L17" s="13"/>
      <c r="M17" s="13"/>
      <c r="N17" s="13"/>
    </row>
    <row r="18" spans="1:14" ht="15.75" x14ac:dyDescent="0.25">
      <c r="A18" s="35" t="s">
        <v>43</v>
      </c>
      <c r="B18" s="33" t="s">
        <v>44</v>
      </c>
      <c r="C18" s="33" t="s">
        <v>26</v>
      </c>
      <c r="D18" s="33"/>
      <c r="E18" s="33"/>
      <c r="F18" s="34">
        <v>263570.68380999996</v>
      </c>
      <c r="G18" s="34">
        <v>41256</v>
      </c>
      <c r="H18" s="34">
        <v>69212.700000000012</v>
      </c>
    </row>
    <row r="19" spans="1:14" x14ac:dyDescent="0.2">
      <c r="A19" s="14" t="s">
        <v>46</v>
      </c>
      <c r="B19" s="11" t="s">
        <v>44</v>
      </c>
      <c r="C19" s="11" t="s">
        <v>28</v>
      </c>
      <c r="D19" s="11"/>
      <c r="E19" s="11"/>
      <c r="F19" s="12">
        <v>166126.79999999999</v>
      </c>
      <c r="G19" s="12">
        <v>3871</v>
      </c>
      <c r="H19" s="12">
        <v>3449</v>
      </c>
    </row>
    <row r="20" spans="1:14" ht="54.75" customHeight="1" x14ac:dyDescent="0.2">
      <c r="A20" s="10" t="s">
        <v>332</v>
      </c>
      <c r="B20" s="8" t="s">
        <v>44</v>
      </c>
      <c r="C20" s="8" t="s">
        <v>28</v>
      </c>
      <c r="D20" s="8" t="s">
        <v>218</v>
      </c>
      <c r="E20" s="8"/>
      <c r="F20" s="9">
        <v>83113.100000000006</v>
      </c>
      <c r="G20" s="9">
        <v>0</v>
      </c>
      <c r="H20" s="9">
        <v>0</v>
      </c>
    </row>
    <row r="21" spans="1:14" x14ac:dyDescent="0.2">
      <c r="A21" s="27" t="s">
        <v>16</v>
      </c>
      <c r="B21" s="23" t="s">
        <v>44</v>
      </c>
      <c r="C21" s="23" t="s">
        <v>28</v>
      </c>
      <c r="D21" s="23" t="s">
        <v>218</v>
      </c>
      <c r="E21" s="23" t="s">
        <v>17</v>
      </c>
      <c r="F21" s="25">
        <v>83113.100000000006</v>
      </c>
      <c r="G21" s="25"/>
      <c r="H21" s="25"/>
    </row>
    <row r="22" spans="1:14" ht="15.75" x14ac:dyDescent="0.25">
      <c r="A22" s="35" t="s">
        <v>1</v>
      </c>
      <c r="B22" s="33"/>
      <c r="C22" s="33"/>
      <c r="D22" s="33"/>
      <c r="E22" s="33"/>
      <c r="F22" s="34">
        <v>2984341.0494300001</v>
      </c>
      <c r="G22" s="34">
        <v>2338074.5999999996</v>
      </c>
      <c r="H22" s="34">
        <v>2308087.1</v>
      </c>
      <c r="I22" s="44"/>
    </row>
    <row r="23" spans="1:14" s="79" customFormat="1" ht="43.5" customHeight="1" x14ac:dyDescent="0.2">
      <c r="A23" s="77" t="s">
        <v>406</v>
      </c>
      <c r="B23" s="78"/>
      <c r="C23" s="78"/>
      <c r="D23" s="78"/>
      <c r="E23" s="78"/>
      <c r="H23" s="80" t="s">
        <v>407</v>
      </c>
    </row>
    <row r="26" spans="1:14" x14ac:dyDescent="0.2">
      <c r="F26" s="42"/>
      <c r="G26" s="42"/>
      <c r="H26" s="42"/>
    </row>
    <row r="27" spans="1:14" x14ac:dyDescent="0.2">
      <c r="F27" s="42"/>
      <c r="G27" s="42"/>
      <c r="H27" s="42"/>
    </row>
    <row r="29" spans="1:14" x14ac:dyDescent="0.2">
      <c r="F29" s="42"/>
      <c r="G29" s="42"/>
      <c r="H29" s="42"/>
    </row>
    <row r="34" spans="2:8" x14ac:dyDescent="0.2">
      <c r="B34" s="13"/>
      <c r="C34" s="13"/>
      <c r="D34" s="13"/>
      <c r="E34" s="13"/>
      <c r="F34" s="13"/>
      <c r="G34" s="13"/>
      <c r="H34" s="13"/>
    </row>
    <row r="35" spans="2:8" x14ac:dyDescent="0.2">
      <c r="B35" s="13"/>
      <c r="C35" s="13"/>
      <c r="D35" s="13"/>
      <c r="E35" s="13"/>
      <c r="F35" s="13"/>
      <c r="G35" s="13"/>
      <c r="H35" s="13"/>
    </row>
    <row r="36" spans="2:8" x14ac:dyDescent="0.2">
      <c r="B36" s="13"/>
      <c r="C36" s="13"/>
      <c r="D36" s="13"/>
      <c r="E36" s="13"/>
      <c r="F36" s="13"/>
      <c r="G36" s="13"/>
      <c r="H36" s="13"/>
    </row>
    <row r="37" spans="2:8" x14ac:dyDescent="0.2">
      <c r="B37" s="13"/>
      <c r="C37" s="13"/>
      <c r="D37" s="13"/>
      <c r="E37" s="13"/>
      <c r="F37" s="13"/>
      <c r="G37" s="13"/>
      <c r="H37" s="13"/>
    </row>
    <row r="38" spans="2:8" x14ac:dyDescent="0.2">
      <c r="B38" s="13"/>
      <c r="C38" s="13"/>
      <c r="D38" s="13"/>
      <c r="E38" s="13"/>
      <c r="F38" s="13"/>
      <c r="G38" s="13"/>
      <c r="H38" s="13"/>
    </row>
    <row r="39" spans="2:8" x14ac:dyDescent="0.2">
      <c r="B39" s="13"/>
      <c r="C39" s="13"/>
      <c r="D39" s="13"/>
      <c r="E39" s="13"/>
      <c r="F39" s="13"/>
      <c r="G39" s="13"/>
      <c r="H39" s="13"/>
    </row>
    <row r="40" spans="2:8" x14ac:dyDescent="0.2">
      <c r="B40" s="13"/>
      <c r="C40" s="13"/>
      <c r="D40" s="13"/>
      <c r="E40" s="13"/>
      <c r="F40" s="13"/>
      <c r="G40" s="13"/>
      <c r="H40" s="13"/>
    </row>
    <row r="41" spans="2:8" x14ac:dyDescent="0.2">
      <c r="B41" s="13"/>
      <c r="C41" s="13"/>
      <c r="D41" s="13"/>
      <c r="E41" s="13"/>
      <c r="F41" s="13"/>
      <c r="G41" s="13"/>
      <c r="H41" s="13"/>
    </row>
    <row r="42" spans="2:8" x14ac:dyDescent="0.2">
      <c r="B42" s="13"/>
      <c r="C42" s="13"/>
      <c r="D42" s="13"/>
      <c r="E42" s="13"/>
      <c r="F42" s="13"/>
      <c r="G42" s="13"/>
      <c r="H42" s="13"/>
    </row>
    <row r="43" spans="2:8" x14ac:dyDescent="0.2">
      <c r="B43" s="13"/>
      <c r="C43" s="13"/>
      <c r="D43" s="13"/>
      <c r="E43" s="13"/>
      <c r="F43" s="13"/>
      <c r="G43" s="13"/>
      <c r="H43" s="13"/>
    </row>
    <row r="44" spans="2:8" x14ac:dyDescent="0.2">
      <c r="B44" s="13"/>
      <c r="C44" s="13"/>
      <c r="D44" s="13"/>
      <c r="E44" s="13"/>
      <c r="F44" s="13"/>
      <c r="G44" s="13"/>
      <c r="H44" s="13"/>
    </row>
    <row r="45" spans="2:8" x14ac:dyDescent="0.2">
      <c r="B45" s="13"/>
      <c r="C45" s="13"/>
      <c r="D45" s="13"/>
      <c r="E45" s="13"/>
      <c r="F45" s="13"/>
      <c r="G45" s="13"/>
      <c r="H45" s="13"/>
    </row>
    <row r="46" spans="2:8" x14ac:dyDescent="0.2">
      <c r="B46" s="13"/>
      <c r="C46" s="13"/>
      <c r="D46" s="13"/>
      <c r="E46" s="13"/>
      <c r="F46" s="13"/>
      <c r="G46" s="13"/>
      <c r="H46" s="13"/>
    </row>
    <row r="47" spans="2:8" x14ac:dyDescent="0.2">
      <c r="B47" s="13"/>
      <c r="C47" s="13"/>
      <c r="D47" s="13"/>
      <c r="E47" s="13"/>
      <c r="F47" s="13"/>
      <c r="G47" s="13"/>
      <c r="H47" s="13"/>
    </row>
    <row r="48" spans="2:8" x14ac:dyDescent="0.2">
      <c r="B48" s="13"/>
      <c r="C48" s="13"/>
      <c r="D48" s="13"/>
      <c r="E48" s="13"/>
      <c r="F48" s="13"/>
      <c r="G48" s="13"/>
      <c r="H48" s="13"/>
    </row>
    <row r="49" spans="2:8" x14ac:dyDescent="0.2">
      <c r="B49" s="13"/>
      <c r="C49" s="13"/>
      <c r="D49" s="13"/>
      <c r="E49" s="13"/>
      <c r="F49" s="13"/>
      <c r="G49" s="13"/>
      <c r="H49" s="13"/>
    </row>
    <row r="50" spans="2:8" x14ac:dyDescent="0.2">
      <c r="B50" s="13"/>
      <c r="C50" s="13"/>
      <c r="D50" s="13"/>
      <c r="E50" s="13"/>
      <c r="F50" s="13"/>
      <c r="G50" s="13"/>
      <c r="H50" s="13"/>
    </row>
    <row r="51" spans="2:8" x14ac:dyDescent="0.2">
      <c r="B51" s="13"/>
      <c r="C51" s="13"/>
      <c r="D51" s="13"/>
      <c r="E51" s="13"/>
      <c r="F51" s="13"/>
      <c r="G51" s="13"/>
      <c r="H51" s="13"/>
    </row>
    <row r="52" spans="2:8" x14ac:dyDescent="0.2">
      <c r="B52" s="13"/>
      <c r="C52" s="13"/>
      <c r="D52" s="13"/>
      <c r="E52" s="13"/>
      <c r="F52" s="13"/>
      <c r="G52" s="13"/>
      <c r="H52" s="13"/>
    </row>
    <row r="53" spans="2:8" x14ac:dyDescent="0.2">
      <c r="B53" s="13"/>
      <c r="C53" s="13"/>
      <c r="D53" s="13"/>
      <c r="E53" s="13"/>
      <c r="F53" s="13"/>
      <c r="G53" s="13"/>
      <c r="H53" s="13"/>
    </row>
    <row r="54" spans="2:8" x14ac:dyDescent="0.2">
      <c r="B54" s="13"/>
      <c r="C54" s="13"/>
      <c r="D54" s="13"/>
      <c r="E54" s="13"/>
      <c r="F54" s="13"/>
      <c r="G54" s="13"/>
      <c r="H54" s="13"/>
    </row>
    <row r="55" spans="2:8" x14ac:dyDescent="0.2">
      <c r="B55" s="13"/>
      <c r="C55" s="13"/>
      <c r="D55" s="13"/>
      <c r="E55" s="13"/>
      <c r="F55" s="13"/>
      <c r="G55" s="13"/>
      <c r="H55" s="13"/>
    </row>
    <row r="56" spans="2:8" x14ac:dyDescent="0.2">
      <c r="B56" s="13"/>
      <c r="C56" s="13"/>
      <c r="D56" s="13"/>
      <c r="E56" s="13"/>
      <c r="F56" s="13"/>
      <c r="G56" s="13"/>
      <c r="H56" s="13"/>
    </row>
    <row r="57" spans="2:8" x14ac:dyDescent="0.2">
      <c r="B57" s="13"/>
      <c r="C57" s="13"/>
      <c r="D57" s="13"/>
      <c r="E57" s="13"/>
      <c r="F57" s="13"/>
      <c r="G57" s="13"/>
      <c r="H57" s="13"/>
    </row>
    <row r="58" spans="2:8" x14ac:dyDescent="0.2">
      <c r="B58" s="13"/>
      <c r="C58" s="13"/>
      <c r="D58" s="13"/>
      <c r="E58" s="13"/>
      <c r="F58" s="13"/>
      <c r="G58" s="13"/>
      <c r="H58" s="13"/>
    </row>
    <row r="59" spans="2:8" x14ac:dyDescent="0.2">
      <c r="B59" s="13"/>
      <c r="C59" s="13"/>
      <c r="D59" s="13"/>
      <c r="E59" s="13"/>
      <c r="F59" s="13"/>
      <c r="G59" s="13"/>
      <c r="H59" s="13"/>
    </row>
    <row r="60" spans="2:8" x14ac:dyDescent="0.2">
      <c r="B60" s="13"/>
      <c r="C60" s="13"/>
      <c r="D60" s="13"/>
      <c r="E60" s="13"/>
      <c r="F60" s="13"/>
      <c r="G60" s="13"/>
      <c r="H60" s="13"/>
    </row>
    <row r="61" spans="2:8" x14ac:dyDescent="0.2">
      <c r="B61" s="13"/>
      <c r="C61" s="13"/>
      <c r="D61" s="13"/>
      <c r="E61" s="13"/>
      <c r="F61" s="13"/>
      <c r="G61" s="13"/>
      <c r="H61" s="13"/>
    </row>
    <row r="62" spans="2:8" x14ac:dyDescent="0.2">
      <c r="B62" s="13"/>
      <c r="C62" s="13"/>
      <c r="D62" s="13"/>
      <c r="E62" s="13"/>
      <c r="F62" s="13"/>
      <c r="G62" s="13"/>
      <c r="H62" s="13"/>
    </row>
    <row r="63" spans="2:8" x14ac:dyDescent="0.2">
      <c r="B63" s="13"/>
      <c r="C63" s="13"/>
      <c r="D63" s="13"/>
      <c r="E63" s="13"/>
      <c r="F63" s="13"/>
      <c r="G63" s="13"/>
      <c r="H63" s="13"/>
    </row>
    <row r="64" spans="2:8" x14ac:dyDescent="0.2">
      <c r="B64" s="13"/>
      <c r="C64" s="13"/>
      <c r="D64" s="13"/>
      <c r="E64" s="13"/>
      <c r="F64" s="13"/>
      <c r="G64" s="13"/>
      <c r="H64" s="13"/>
    </row>
    <row r="65" spans="2:8" x14ac:dyDescent="0.2">
      <c r="B65" s="13"/>
      <c r="C65" s="13"/>
      <c r="D65" s="13"/>
      <c r="E65" s="13"/>
      <c r="F65" s="13"/>
      <c r="G65" s="13"/>
      <c r="H65" s="13"/>
    </row>
    <row r="66" spans="2:8" x14ac:dyDescent="0.2">
      <c r="B66" s="13"/>
      <c r="C66" s="13"/>
      <c r="D66" s="13"/>
      <c r="E66" s="13"/>
      <c r="F66" s="13"/>
      <c r="G66" s="13"/>
      <c r="H66" s="13"/>
    </row>
    <row r="67" spans="2:8" x14ac:dyDescent="0.2">
      <c r="B67" s="13"/>
      <c r="C67" s="13"/>
      <c r="D67" s="13"/>
      <c r="E67" s="13"/>
      <c r="F67" s="13"/>
      <c r="G67" s="13"/>
      <c r="H67" s="13"/>
    </row>
    <row r="68" spans="2:8" x14ac:dyDescent="0.2">
      <c r="B68" s="13"/>
      <c r="C68" s="13"/>
      <c r="D68" s="13"/>
      <c r="E68" s="13"/>
      <c r="F68" s="13"/>
      <c r="G68" s="13"/>
      <c r="H68" s="13"/>
    </row>
    <row r="69" spans="2:8" x14ac:dyDescent="0.2">
      <c r="B69" s="13"/>
      <c r="C69" s="13"/>
      <c r="D69" s="13"/>
      <c r="E69" s="13"/>
      <c r="F69" s="13"/>
      <c r="G69" s="13"/>
      <c r="H69" s="13"/>
    </row>
    <row r="70" spans="2:8" x14ac:dyDescent="0.2">
      <c r="B70" s="13"/>
      <c r="C70" s="13"/>
      <c r="D70" s="13"/>
      <c r="E70" s="13"/>
      <c r="F70" s="13"/>
      <c r="G70" s="13"/>
      <c r="H70" s="13"/>
    </row>
    <row r="71" spans="2:8" x14ac:dyDescent="0.2">
      <c r="B71" s="13"/>
      <c r="C71" s="13"/>
      <c r="D71" s="13"/>
      <c r="E71" s="13"/>
      <c r="F71" s="13"/>
      <c r="G71" s="13"/>
      <c r="H71" s="13"/>
    </row>
    <row r="72" spans="2:8" x14ac:dyDescent="0.2">
      <c r="B72" s="13"/>
      <c r="C72" s="13"/>
      <c r="D72" s="13"/>
      <c r="E72" s="13"/>
      <c r="F72" s="13"/>
      <c r="G72" s="13"/>
      <c r="H72" s="13"/>
    </row>
    <row r="73" spans="2:8" x14ac:dyDescent="0.2">
      <c r="B73" s="13"/>
      <c r="C73" s="13"/>
      <c r="D73" s="13"/>
      <c r="E73" s="13"/>
      <c r="F73" s="13"/>
      <c r="G73" s="13"/>
      <c r="H73" s="13"/>
    </row>
    <row r="74" spans="2:8" x14ac:dyDescent="0.2">
      <c r="B74" s="13"/>
      <c r="C74" s="13"/>
      <c r="D74" s="13"/>
      <c r="E74" s="13"/>
      <c r="F74" s="13"/>
      <c r="G74" s="13"/>
      <c r="H74" s="13"/>
    </row>
    <row r="75" spans="2:8" x14ac:dyDescent="0.2">
      <c r="B75" s="13"/>
      <c r="C75" s="13"/>
      <c r="D75" s="13"/>
      <c r="E75" s="13"/>
      <c r="F75" s="13"/>
      <c r="G75" s="13"/>
      <c r="H75" s="13"/>
    </row>
    <row r="76" spans="2:8" x14ac:dyDescent="0.2">
      <c r="B76" s="13"/>
      <c r="C76" s="13"/>
      <c r="D76" s="13"/>
      <c r="E76" s="13"/>
      <c r="F76" s="13"/>
      <c r="G76" s="13"/>
      <c r="H76" s="13"/>
    </row>
    <row r="77" spans="2:8" x14ac:dyDescent="0.2">
      <c r="B77" s="13"/>
      <c r="C77" s="13"/>
      <c r="D77" s="13"/>
      <c r="E77" s="13"/>
      <c r="F77" s="13"/>
      <c r="G77" s="13"/>
      <c r="H77" s="13"/>
    </row>
    <row r="78" spans="2:8" x14ac:dyDescent="0.2">
      <c r="B78" s="13"/>
      <c r="C78" s="13"/>
      <c r="D78" s="13"/>
      <c r="E78" s="13"/>
      <c r="F78" s="13"/>
      <c r="G78" s="13"/>
      <c r="H78" s="13"/>
    </row>
    <row r="79" spans="2:8" x14ac:dyDescent="0.2">
      <c r="B79" s="13"/>
      <c r="C79" s="13"/>
      <c r="D79" s="13"/>
      <c r="E79" s="13"/>
      <c r="F79" s="13"/>
      <c r="G79" s="13"/>
      <c r="H79" s="13"/>
    </row>
    <row r="80" spans="2:8" x14ac:dyDescent="0.2">
      <c r="B80" s="13"/>
      <c r="C80" s="13"/>
      <c r="D80" s="13"/>
      <c r="E80" s="13"/>
      <c r="F80" s="13"/>
      <c r="G80" s="13"/>
      <c r="H80" s="13"/>
    </row>
    <row r="81" spans="2:8" x14ac:dyDescent="0.2">
      <c r="B81" s="13"/>
      <c r="C81" s="13"/>
      <c r="D81" s="13"/>
      <c r="E81" s="13"/>
      <c r="F81" s="13"/>
      <c r="G81" s="13"/>
      <c r="H81" s="13"/>
    </row>
    <row r="82" spans="2:8" x14ac:dyDescent="0.2">
      <c r="B82" s="13"/>
      <c r="C82" s="13"/>
      <c r="D82" s="13"/>
      <c r="E82" s="13"/>
      <c r="F82" s="13"/>
      <c r="G82" s="13"/>
      <c r="H82" s="13"/>
    </row>
    <row r="83" spans="2:8" x14ac:dyDescent="0.2">
      <c r="B83" s="13"/>
      <c r="C83" s="13"/>
      <c r="D83" s="13"/>
      <c r="E83" s="13"/>
      <c r="F83" s="13"/>
      <c r="G83" s="13"/>
      <c r="H83" s="13"/>
    </row>
    <row r="84" spans="2:8" x14ac:dyDescent="0.2">
      <c r="B84" s="13"/>
      <c r="C84" s="13"/>
      <c r="D84" s="13"/>
      <c r="E84" s="13"/>
      <c r="F84" s="13"/>
      <c r="G84" s="13"/>
      <c r="H84" s="13"/>
    </row>
    <row r="85" spans="2:8" x14ac:dyDescent="0.2">
      <c r="B85" s="13"/>
      <c r="C85" s="13"/>
      <c r="D85" s="13"/>
      <c r="E85" s="13"/>
      <c r="F85" s="13"/>
      <c r="G85" s="13"/>
      <c r="H85" s="13"/>
    </row>
    <row r="86" spans="2:8" x14ac:dyDescent="0.2">
      <c r="B86" s="13"/>
      <c r="C86" s="13"/>
      <c r="D86" s="13"/>
      <c r="E86" s="13"/>
      <c r="F86" s="13"/>
      <c r="G86" s="13"/>
      <c r="H86" s="13"/>
    </row>
    <row r="87" spans="2:8" x14ac:dyDescent="0.2">
      <c r="B87" s="13"/>
      <c r="C87" s="13"/>
      <c r="D87" s="13"/>
      <c r="E87" s="13"/>
      <c r="F87" s="13"/>
      <c r="G87" s="13"/>
      <c r="H87" s="13"/>
    </row>
    <row r="88" spans="2:8" x14ac:dyDescent="0.2">
      <c r="B88" s="13"/>
      <c r="C88" s="13"/>
      <c r="D88" s="13"/>
      <c r="E88" s="13"/>
      <c r="F88" s="13"/>
      <c r="G88" s="13"/>
      <c r="H88" s="13"/>
    </row>
    <row r="89" spans="2:8" x14ac:dyDescent="0.2">
      <c r="B89" s="13"/>
      <c r="C89" s="13"/>
      <c r="D89" s="13"/>
      <c r="E89" s="13"/>
      <c r="F89" s="13"/>
      <c r="G89" s="13"/>
      <c r="H89" s="13"/>
    </row>
    <row r="90" spans="2:8" x14ac:dyDescent="0.2">
      <c r="B90" s="13"/>
      <c r="C90" s="13"/>
      <c r="D90" s="13"/>
      <c r="E90" s="13"/>
      <c r="F90" s="13"/>
      <c r="G90" s="13"/>
      <c r="H90" s="13"/>
    </row>
    <row r="91" spans="2:8" x14ac:dyDescent="0.2">
      <c r="B91" s="13"/>
      <c r="C91" s="13"/>
      <c r="D91" s="13"/>
      <c r="E91" s="13"/>
      <c r="F91" s="13"/>
      <c r="G91" s="13"/>
      <c r="H91" s="13"/>
    </row>
    <row r="92" spans="2:8" x14ac:dyDescent="0.2">
      <c r="B92" s="13"/>
      <c r="C92" s="13"/>
      <c r="D92" s="13"/>
      <c r="E92" s="13"/>
      <c r="F92" s="13"/>
      <c r="G92" s="13"/>
      <c r="H92" s="13"/>
    </row>
    <row r="93" spans="2:8" x14ac:dyDescent="0.2">
      <c r="B93" s="13"/>
      <c r="C93" s="13"/>
      <c r="D93" s="13"/>
      <c r="E93" s="13"/>
      <c r="F93" s="13"/>
      <c r="G93" s="13"/>
      <c r="H93" s="13"/>
    </row>
    <row r="94" spans="2:8" x14ac:dyDescent="0.2">
      <c r="B94" s="13"/>
      <c r="C94" s="13"/>
      <c r="D94" s="13"/>
      <c r="E94" s="13"/>
      <c r="F94" s="13"/>
      <c r="G94" s="13"/>
      <c r="H94" s="13"/>
    </row>
    <row r="95" spans="2:8" x14ac:dyDescent="0.2">
      <c r="B95" s="13"/>
      <c r="C95" s="13"/>
      <c r="D95" s="13"/>
      <c r="E95" s="13"/>
      <c r="F95" s="13"/>
      <c r="G95" s="13"/>
      <c r="H95" s="13"/>
    </row>
    <row r="96" spans="2:8" x14ac:dyDescent="0.2">
      <c r="B96" s="13"/>
      <c r="C96" s="13"/>
      <c r="D96" s="13"/>
      <c r="E96" s="13"/>
      <c r="F96" s="13"/>
      <c r="G96" s="13"/>
      <c r="H96" s="13"/>
    </row>
    <row r="97" spans="2:8" x14ac:dyDescent="0.2">
      <c r="B97" s="13"/>
      <c r="C97" s="13"/>
      <c r="D97" s="13"/>
      <c r="E97" s="13"/>
      <c r="F97" s="13"/>
      <c r="G97" s="13"/>
      <c r="H97" s="13"/>
    </row>
    <row r="98" spans="2:8" x14ac:dyDescent="0.2">
      <c r="B98" s="13"/>
      <c r="C98" s="13"/>
      <c r="D98" s="13"/>
      <c r="E98" s="13"/>
      <c r="F98" s="13"/>
      <c r="G98" s="13"/>
      <c r="H98" s="13"/>
    </row>
    <row r="99" spans="2:8" x14ac:dyDescent="0.2">
      <c r="B99" s="13"/>
      <c r="C99" s="13"/>
      <c r="D99" s="13"/>
      <c r="E99" s="13"/>
      <c r="F99" s="13"/>
      <c r="G99" s="13"/>
      <c r="H99" s="13"/>
    </row>
    <row r="100" spans="2:8" x14ac:dyDescent="0.2">
      <c r="B100" s="13"/>
      <c r="C100" s="13"/>
      <c r="D100" s="13"/>
      <c r="E100" s="13"/>
      <c r="F100" s="13"/>
      <c r="G100" s="13"/>
      <c r="H100" s="13"/>
    </row>
    <row r="101" spans="2:8" x14ac:dyDescent="0.2">
      <c r="B101" s="13"/>
      <c r="C101" s="13"/>
      <c r="D101" s="13"/>
      <c r="E101" s="13"/>
      <c r="F101" s="13"/>
      <c r="G101" s="13"/>
      <c r="H101" s="13"/>
    </row>
    <row r="102" spans="2:8" x14ac:dyDescent="0.2">
      <c r="B102" s="13"/>
      <c r="C102" s="13"/>
      <c r="D102" s="13"/>
      <c r="E102" s="13"/>
      <c r="F102" s="13"/>
      <c r="G102" s="13"/>
      <c r="H102" s="13"/>
    </row>
    <row r="103" spans="2:8" x14ac:dyDescent="0.2">
      <c r="B103" s="13"/>
      <c r="C103" s="13"/>
      <c r="D103" s="13"/>
      <c r="E103" s="13"/>
      <c r="F103" s="13"/>
      <c r="G103" s="13"/>
      <c r="H103" s="13"/>
    </row>
    <row r="104" spans="2:8" x14ac:dyDescent="0.2">
      <c r="B104" s="13"/>
      <c r="C104" s="13"/>
      <c r="D104" s="13"/>
      <c r="E104" s="13"/>
      <c r="F104" s="13"/>
      <c r="G104" s="13"/>
      <c r="H104" s="13"/>
    </row>
    <row r="105" spans="2:8" x14ac:dyDescent="0.2">
      <c r="B105" s="13"/>
      <c r="C105" s="13"/>
      <c r="D105" s="13"/>
      <c r="E105" s="13"/>
      <c r="F105" s="13"/>
      <c r="G105" s="13"/>
      <c r="H105" s="13"/>
    </row>
    <row r="106" spans="2:8" x14ac:dyDescent="0.2">
      <c r="B106" s="13"/>
      <c r="C106" s="13"/>
      <c r="D106" s="13"/>
      <c r="E106" s="13"/>
      <c r="F106" s="13"/>
      <c r="G106" s="13"/>
      <c r="H106" s="13"/>
    </row>
    <row r="107" spans="2:8" x14ac:dyDescent="0.2">
      <c r="B107" s="13"/>
      <c r="C107" s="13"/>
      <c r="D107" s="13"/>
      <c r="E107" s="13"/>
      <c r="F107" s="13"/>
      <c r="G107" s="13"/>
      <c r="H107" s="13"/>
    </row>
    <row r="108" spans="2:8" x14ac:dyDescent="0.2">
      <c r="B108" s="13"/>
      <c r="C108" s="13"/>
      <c r="D108" s="13"/>
      <c r="E108" s="13"/>
      <c r="F108" s="13"/>
      <c r="G108" s="13"/>
      <c r="H108" s="13"/>
    </row>
    <row r="109" spans="2:8" x14ac:dyDescent="0.2">
      <c r="B109" s="13"/>
      <c r="C109" s="13"/>
      <c r="D109" s="13"/>
      <c r="E109" s="13"/>
      <c r="F109" s="13"/>
      <c r="G109" s="13"/>
      <c r="H109" s="13"/>
    </row>
    <row r="110" spans="2:8" x14ac:dyDescent="0.2">
      <c r="B110" s="13"/>
      <c r="C110" s="13"/>
      <c r="D110" s="13"/>
      <c r="E110" s="13"/>
      <c r="F110" s="13"/>
      <c r="G110" s="13"/>
      <c r="H110" s="13"/>
    </row>
    <row r="111" spans="2:8" x14ac:dyDescent="0.2">
      <c r="B111" s="13"/>
      <c r="C111" s="13"/>
      <c r="D111" s="13"/>
      <c r="E111" s="13"/>
      <c r="F111" s="13"/>
      <c r="G111" s="13"/>
      <c r="H111" s="13"/>
    </row>
    <row r="112" spans="2:8" x14ac:dyDescent="0.2">
      <c r="B112" s="13"/>
      <c r="C112" s="13"/>
      <c r="D112" s="13"/>
      <c r="E112" s="13"/>
      <c r="F112" s="13"/>
      <c r="G112" s="13"/>
      <c r="H112" s="13"/>
    </row>
    <row r="113" spans="2:8" x14ac:dyDescent="0.2">
      <c r="B113" s="13"/>
      <c r="C113" s="13"/>
      <c r="D113" s="13"/>
      <c r="E113" s="13"/>
      <c r="F113" s="13"/>
      <c r="G113" s="13"/>
      <c r="H113" s="13"/>
    </row>
    <row r="114" spans="2:8" x14ac:dyDescent="0.2">
      <c r="B114" s="13"/>
      <c r="C114" s="13"/>
      <c r="D114" s="13"/>
      <c r="E114" s="13"/>
      <c r="F114" s="13"/>
      <c r="G114" s="13"/>
      <c r="H114" s="13"/>
    </row>
    <row r="115" spans="2:8" x14ac:dyDescent="0.2">
      <c r="B115" s="13"/>
      <c r="C115" s="13"/>
      <c r="D115" s="13"/>
      <c r="E115" s="13"/>
      <c r="F115" s="13"/>
      <c r="G115" s="13"/>
      <c r="H115" s="13"/>
    </row>
    <row r="116" spans="2:8" x14ac:dyDescent="0.2">
      <c r="B116" s="13"/>
      <c r="C116" s="13"/>
      <c r="D116" s="13"/>
      <c r="E116" s="13"/>
      <c r="F116" s="13"/>
      <c r="G116" s="13"/>
      <c r="H116" s="13"/>
    </row>
    <row r="117" spans="2:8" x14ac:dyDescent="0.2">
      <c r="B117" s="13"/>
      <c r="C117" s="13"/>
      <c r="D117" s="13"/>
      <c r="E117" s="13"/>
      <c r="F117" s="13"/>
      <c r="G117" s="13"/>
      <c r="H117" s="13"/>
    </row>
    <row r="118" spans="2:8" x14ac:dyDescent="0.2">
      <c r="B118" s="13"/>
      <c r="C118" s="13"/>
      <c r="D118" s="13"/>
      <c r="E118" s="13"/>
      <c r="F118" s="13"/>
      <c r="G118" s="13"/>
      <c r="H118" s="13"/>
    </row>
    <row r="119" spans="2:8" x14ac:dyDescent="0.2">
      <c r="B119" s="13"/>
      <c r="C119" s="13"/>
      <c r="D119" s="13"/>
      <c r="E119" s="13"/>
      <c r="F119" s="13"/>
      <c r="G119" s="13"/>
      <c r="H119" s="13"/>
    </row>
    <row r="120" spans="2:8" x14ac:dyDescent="0.2">
      <c r="B120" s="13"/>
      <c r="C120" s="13"/>
      <c r="D120" s="13"/>
      <c r="E120" s="13"/>
      <c r="F120" s="13"/>
      <c r="G120" s="13"/>
      <c r="H120" s="13"/>
    </row>
    <row r="121" spans="2:8" x14ac:dyDescent="0.2">
      <c r="B121" s="13"/>
      <c r="C121" s="13"/>
      <c r="D121" s="13"/>
      <c r="E121" s="13"/>
      <c r="F121" s="13"/>
      <c r="G121" s="13"/>
      <c r="H121" s="13"/>
    </row>
    <row r="122" spans="2:8" x14ac:dyDescent="0.2">
      <c r="B122" s="13"/>
      <c r="C122" s="13"/>
      <c r="D122" s="13"/>
      <c r="E122" s="13"/>
      <c r="F122" s="13"/>
      <c r="G122" s="13"/>
      <c r="H122" s="13"/>
    </row>
    <row r="123" spans="2:8" x14ac:dyDescent="0.2">
      <c r="B123" s="13"/>
      <c r="C123" s="13"/>
      <c r="D123" s="13"/>
      <c r="E123" s="13"/>
      <c r="F123" s="13"/>
      <c r="G123" s="13"/>
      <c r="H123" s="13"/>
    </row>
    <row r="124" spans="2:8" x14ac:dyDescent="0.2">
      <c r="B124" s="13"/>
      <c r="C124" s="13"/>
      <c r="D124" s="13"/>
      <c r="E124" s="13"/>
      <c r="F124" s="13"/>
      <c r="G124" s="13"/>
      <c r="H124" s="13"/>
    </row>
    <row r="125" spans="2:8" x14ac:dyDescent="0.2">
      <c r="B125" s="13"/>
      <c r="C125" s="13"/>
      <c r="D125" s="13"/>
      <c r="E125" s="13"/>
      <c r="F125" s="13"/>
      <c r="G125" s="13"/>
      <c r="H125" s="13"/>
    </row>
    <row r="126" spans="2:8" x14ac:dyDescent="0.2">
      <c r="B126" s="13"/>
      <c r="C126" s="13"/>
      <c r="D126" s="13"/>
      <c r="E126" s="13"/>
      <c r="F126" s="13"/>
      <c r="G126" s="13"/>
      <c r="H126" s="13"/>
    </row>
    <row r="127" spans="2:8" x14ac:dyDescent="0.2">
      <c r="B127" s="13"/>
      <c r="C127" s="13"/>
      <c r="D127" s="13"/>
      <c r="E127" s="13"/>
      <c r="F127" s="13"/>
      <c r="G127" s="13"/>
      <c r="H127" s="13"/>
    </row>
    <row r="128" spans="2:8" x14ac:dyDescent="0.2">
      <c r="B128" s="13"/>
      <c r="C128" s="13"/>
      <c r="D128" s="13"/>
      <c r="E128" s="13"/>
      <c r="F128" s="13"/>
      <c r="G128" s="13"/>
      <c r="H128" s="13"/>
    </row>
    <row r="129" spans="2:8" x14ac:dyDescent="0.2">
      <c r="B129" s="13"/>
      <c r="C129" s="13"/>
      <c r="D129" s="13"/>
      <c r="E129" s="13"/>
      <c r="F129" s="13"/>
      <c r="G129" s="13"/>
      <c r="H129" s="13"/>
    </row>
    <row r="130" spans="2:8" x14ac:dyDescent="0.2">
      <c r="B130" s="13"/>
      <c r="C130" s="13"/>
      <c r="D130" s="13"/>
      <c r="E130" s="13"/>
      <c r="F130" s="13"/>
      <c r="G130" s="13"/>
      <c r="H130" s="13"/>
    </row>
    <row r="131" spans="2:8" x14ac:dyDescent="0.2">
      <c r="B131" s="13"/>
      <c r="C131" s="13"/>
      <c r="D131" s="13"/>
      <c r="E131" s="13"/>
      <c r="F131" s="13"/>
      <c r="G131" s="13"/>
      <c r="H131" s="13"/>
    </row>
    <row r="132" spans="2:8" x14ac:dyDescent="0.2">
      <c r="B132" s="13"/>
      <c r="C132" s="13"/>
      <c r="D132" s="13"/>
      <c r="E132" s="13"/>
      <c r="F132" s="13"/>
      <c r="G132" s="13"/>
      <c r="H132" s="13"/>
    </row>
    <row r="133" spans="2:8" x14ac:dyDescent="0.2">
      <c r="B133" s="13"/>
      <c r="C133" s="13"/>
      <c r="D133" s="13"/>
      <c r="E133" s="13"/>
      <c r="F133" s="13"/>
      <c r="G133" s="13"/>
      <c r="H133" s="13"/>
    </row>
    <row r="134" spans="2:8" x14ac:dyDescent="0.2">
      <c r="B134" s="13"/>
      <c r="C134" s="13"/>
      <c r="D134" s="13"/>
      <c r="E134" s="13"/>
      <c r="F134" s="13"/>
      <c r="G134" s="13"/>
      <c r="H134" s="13"/>
    </row>
    <row r="135" spans="2:8" x14ac:dyDescent="0.2">
      <c r="B135" s="13"/>
      <c r="C135" s="13"/>
      <c r="D135" s="13"/>
      <c r="E135" s="13"/>
      <c r="F135" s="13"/>
      <c r="G135" s="13"/>
      <c r="H135" s="13"/>
    </row>
    <row r="136" spans="2:8" x14ac:dyDescent="0.2">
      <c r="B136" s="13"/>
      <c r="C136" s="13"/>
      <c r="D136" s="13"/>
      <c r="E136" s="13"/>
      <c r="F136" s="13"/>
      <c r="G136" s="13"/>
      <c r="H136" s="13"/>
    </row>
    <row r="137" spans="2:8" x14ac:dyDescent="0.2">
      <c r="B137" s="13"/>
      <c r="C137" s="13"/>
      <c r="D137" s="13"/>
      <c r="E137" s="13"/>
      <c r="F137" s="13"/>
      <c r="G137" s="13"/>
      <c r="H137" s="13"/>
    </row>
    <row r="138" spans="2:8" x14ac:dyDescent="0.2">
      <c r="B138" s="13"/>
      <c r="C138" s="13"/>
      <c r="D138" s="13"/>
      <c r="E138" s="13"/>
      <c r="F138" s="13"/>
      <c r="G138" s="13"/>
      <c r="H138" s="13"/>
    </row>
  </sheetData>
  <mergeCells count="9">
    <mergeCell ref="A9:H9"/>
    <mergeCell ref="A10:F10"/>
    <mergeCell ref="A11:F11"/>
    <mergeCell ref="A1:H1"/>
    <mergeCell ref="A2:H2"/>
    <mergeCell ref="A3:H3"/>
    <mergeCell ref="A5:H5"/>
    <mergeCell ref="A6:H6"/>
    <mergeCell ref="A7:H7"/>
  </mergeCells>
  <pageMargins left="0.78740157480314965" right="0.39370078740157483" top="0.59055118110236227" bottom="0.94488188976377963" header="0.31496062992125984" footer="0.31496062992125984"/>
  <pageSetup paperSize="9" scale="65" fitToHeight="18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первоначальный </vt:lpstr>
      <vt:lpstr>изменения июнь внеочередная</vt:lpstr>
      <vt:lpstr>изменения июнь внеочередная кор</vt:lpstr>
      <vt:lpstr>'изменения июнь внеочередная'!Заголовки_для_печати</vt:lpstr>
      <vt:lpstr>'изменения июнь внеочередная кор'!Заголовки_для_печати</vt:lpstr>
      <vt:lpstr>'первоначальный '!Заголовки_для_печати</vt:lpstr>
      <vt:lpstr>'изменения июнь внеочередная'!Область_печати</vt:lpstr>
      <vt:lpstr>'изменения июнь внеочередная кор'!Область_печати</vt:lpstr>
      <vt:lpstr>'первоначальный '!Область_печати</vt:lpstr>
    </vt:vector>
  </TitlesOfParts>
  <Company>ПредБредБракЗнакСбытЗагранПодставка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Tatyana Orlova</cp:lastModifiedBy>
  <cp:lastPrinted>2018-06-05T01:53:54Z</cp:lastPrinted>
  <dcterms:created xsi:type="dcterms:W3CDTF">2007-12-19T01:06:30Z</dcterms:created>
  <dcterms:modified xsi:type="dcterms:W3CDTF">2018-06-05T01:53:57Z</dcterms:modified>
</cp:coreProperties>
</file>