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55" yWindow="8730" windowWidth="15480" windowHeight="1410" activeTab="2"/>
  </bookViews>
  <sheets>
    <sheet name="первоначальный" sheetId="7" r:id="rId1"/>
    <sheet name="изменения июнь внеочередная" sheetId="8" r:id="rId2"/>
    <sheet name="изменения июнь внеочередная кор" sheetId="10" r:id="rId3"/>
  </sheets>
  <definedNames>
    <definedName name="_xlnm._FilterDatabase" localSheetId="1" hidden="1">'изменения июнь внеочередная'!$A$13:$P$572</definedName>
    <definedName name="_xlnm._FilterDatabase" localSheetId="2" hidden="1">'изменения июнь внеочередная кор'!$A$13:$P$24</definedName>
    <definedName name="_xlnm._FilterDatabase" localSheetId="0" hidden="1">первоначальный!$A$9:$O$530</definedName>
    <definedName name="_xlnm.Print_Titles" localSheetId="1">'изменения июнь внеочередная'!$14:$14</definedName>
    <definedName name="_xlnm.Print_Titles" localSheetId="2">'изменения июнь внеочередная кор'!$14:$14</definedName>
    <definedName name="_xlnm.Print_Titles" localSheetId="0">первоначальный!$10:$10</definedName>
    <definedName name="_xlnm.Print_Area" localSheetId="1">'изменения июнь внеочередная'!$A$5:$I$577</definedName>
    <definedName name="_xlnm.Print_Area" localSheetId="2">'изменения июнь внеочередная кор'!$A$1:$I$27</definedName>
    <definedName name="_xlnm.Print_Area" localSheetId="0">первоначальный!$A$1:$I$538</definedName>
  </definedNames>
  <calcPr calcId="14562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G502" i="8" l="1"/>
  <c r="G530" i="8"/>
  <c r="G89" i="8" l="1"/>
  <c r="G521" i="8"/>
  <c r="G575" i="8" l="1"/>
  <c r="G363" i="8"/>
  <c r="G360" i="8"/>
  <c r="G358" i="8"/>
  <c r="G344" i="8"/>
  <c r="G30" i="8" l="1"/>
  <c r="G29" i="8"/>
  <c r="G157" i="8"/>
  <c r="G140" i="8"/>
  <c r="G153" i="8"/>
  <c r="G304" i="8" l="1"/>
  <c r="G308" i="8"/>
  <c r="G307" i="8"/>
  <c r="G274" i="8"/>
  <c r="G256" i="8"/>
  <c r="G253" i="8"/>
  <c r="G239" i="8"/>
  <c r="G238" i="8"/>
  <c r="H562" i="8" l="1"/>
  <c r="I562" i="8"/>
  <c r="I563" i="8"/>
  <c r="H563" i="8"/>
  <c r="G563" i="8"/>
  <c r="G47" i="8" l="1"/>
  <c r="G534" i="8"/>
  <c r="G532" i="8"/>
  <c r="G499" i="8"/>
  <c r="G57" i="8"/>
  <c r="G495" i="8"/>
  <c r="G559" i="8"/>
  <c r="G43" i="8" l="1"/>
  <c r="G226" i="8"/>
  <c r="G277" i="8" l="1"/>
  <c r="H463" i="8"/>
  <c r="I463" i="8"/>
  <c r="G463" i="8"/>
  <c r="G465" i="8"/>
  <c r="G244" i="8" l="1"/>
  <c r="G243" i="8"/>
  <c r="G49" i="8" l="1"/>
  <c r="H549" i="8" l="1"/>
  <c r="I549" i="8"/>
  <c r="G549" i="8"/>
  <c r="G506" i="8" l="1"/>
  <c r="G309" i="8" l="1"/>
  <c r="G280" i="8" l="1"/>
  <c r="G279" i="8"/>
  <c r="G289" i="8" l="1"/>
  <c r="G285" i="8"/>
  <c r="G223" i="8" l="1"/>
  <c r="G221" i="8"/>
  <c r="G481" i="8" l="1"/>
  <c r="G478" i="8"/>
  <c r="G483" i="8"/>
  <c r="G302" i="8" l="1"/>
  <c r="G296" i="8"/>
  <c r="G295" i="8"/>
  <c r="G34" i="8" l="1"/>
  <c r="G19" i="8"/>
  <c r="G88" i="8"/>
  <c r="G92" i="8"/>
  <c r="G91" i="8"/>
  <c r="G386" i="8"/>
  <c r="G385" i="8"/>
  <c r="G209" i="8"/>
  <c r="G184" i="8"/>
  <c r="G68" i="8"/>
  <c r="G67" i="8"/>
  <c r="G556" i="8" l="1"/>
  <c r="G119" i="8"/>
  <c r="G164" i="8" l="1"/>
  <c r="G143" i="8"/>
  <c r="G218" i="8" l="1"/>
  <c r="G60" i="8"/>
  <c r="G548" i="8"/>
  <c r="G553" i="8" l="1"/>
  <c r="G514" i="8"/>
  <c r="G231" i="8" l="1"/>
  <c r="G269" i="8"/>
  <c r="G268" i="8"/>
  <c r="G257" i="8"/>
  <c r="G301" i="8" l="1"/>
  <c r="G306" i="8"/>
  <c r="G237" i="8"/>
  <c r="G200" i="8"/>
  <c r="G298" i="8"/>
  <c r="G249" i="8"/>
  <c r="G248" i="8"/>
  <c r="G247" i="8"/>
  <c r="G235" i="8"/>
  <c r="G234" i="8"/>
  <c r="G233" i="8"/>
  <c r="G23" i="8"/>
  <c r="G555" i="8" l="1"/>
  <c r="G462" i="8" l="1"/>
  <c r="G392" i="8"/>
  <c r="G391" i="8"/>
  <c r="G389" i="8"/>
  <c r="G485" i="8"/>
  <c r="G102" i="8" l="1"/>
  <c r="G101" i="8"/>
  <c r="G163" i="8"/>
  <c r="G370" i="8" l="1"/>
  <c r="G366" i="8"/>
  <c r="G183" i="8"/>
  <c r="G212" i="8"/>
  <c r="G208" i="8"/>
  <c r="G217" i="8" l="1"/>
  <c r="G66" i="8" l="1"/>
  <c r="G59" i="8"/>
  <c r="G33" i="8"/>
  <c r="G351" i="8" l="1"/>
  <c r="G487" i="8" l="1"/>
  <c r="G486" i="8"/>
  <c r="G284" i="8" l="1"/>
  <c r="G292" i="8"/>
  <c r="G291" i="8"/>
  <c r="G109" i="8" l="1"/>
  <c r="G107" i="8" s="1"/>
  <c r="H522" i="8" l="1"/>
  <c r="I522" i="8"/>
  <c r="G523" i="8"/>
  <c r="G522" i="8" s="1"/>
  <c r="G519" i="8"/>
  <c r="G540" i="8"/>
  <c r="G539" i="8"/>
  <c r="G569" i="8"/>
  <c r="G528" i="8"/>
  <c r="G333" i="8" l="1"/>
  <c r="G332" i="8"/>
  <c r="G334" i="8"/>
  <c r="G240" i="8"/>
  <c r="G84" i="8" l="1"/>
  <c r="G31" i="8" l="1"/>
  <c r="H538" i="8" l="1"/>
  <c r="I538" i="8"/>
  <c r="G538" i="8"/>
  <c r="I536" i="8"/>
  <c r="H536" i="8"/>
  <c r="G536" i="8"/>
  <c r="G45" i="8" l="1"/>
  <c r="G72" i="8" l="1"/>
  <c r="G74" i="8"/>
  <c r="H144" i="8"/>
  <c r="I144" i="8"/>
  <c r="G144" i="8"/>
  <c r="G255" i="8" l="1"/>
  <c r="G282" i="8"/>
  <c r="G288" i="8"/>
  <c r="I501" i="8" l="1"/>
  <c r="H501" i="8"/>
  <c r="G501" i="8"/>
  <c r="G350" i="8"/>
  <c r="G117" i="8" l="1"/>
  <c r="I115" i="8" l="1"/>
  <c r="H115" i="8"/>
  <c r="H114" i="8" s="1"/>
  <c r="G115" i="8"/>
  <c r="G114" i="8" s="1"/>
  <c r="I114" i="8"/>
  <c r="I503" i="8"/>
  <c r="H503" i="8"/>
  <c r="G503" i="8"/>
  <c r="G294" i="8"/>
  <c r="G260" i="8"/>
  <c r="G349" i="8" l="1"/>
  <c r="G406" i="8" l="1"/>
  <c r="G405" i="8"/>
  <c r="G409" i="8" l="1"/>
  <c r="G408" i="8"/>
  <c r="G20" i="8" l="1"/>
  <c r="I556" i="8" l="1"/>
  <c r="H556" i="8"/>
  <c r="H96" i="8"/>
  <c r="I96" i="8"/>
  <c r="G96" i="8"/>
  <c r="G299" i="8" l="1"/>
  <c r="I124" i="8" l="1"/>
  <c r="H124" i="8"/>
  <c r="G124" i="8"/>
  <c r="I354" i="8" l="1"/>
  <c r="H354" i="8"/>
  <c r="G354" i="8"/>
  <c r="G106" i="8"/>
  <c r="G94" i="8" l="1"/>
  <c r="I94" i="8"/>
  <c r="I93" i="8" s="1"/>
  <c r="H94" i="8"/>
  <c r="H93" i="8" s="1"/>
  <c r="G93" i="8" l="1"/>
  <c r="G18" i="8"/>
  <c r="I19" i="8"/>
  <c r="I18" i="8" s="1"/>
  <c r="H19" i="8"/>
  <c r="H18" i="8" s="1"/>
  <c r="I83" i="8"/>
  <c r="H83" i="8"/>
  <c r="G83" i="8"/>
  <c r="H293" i="8"/>
  <c r="I293" i="8"/>
  <c r="G293" i="8"/>
  <c r="I461" i="8" l="1"/>
  <c r="H461" i="8"/>
  <c r="G461" i="8"/>
  <c r="I516" i="8" l="1"/>
  <c r="H516" i="8"/>
  <c r="G516" i="8"/>
  <c r="G520" i="8"/>
  <c r="I575" i="8"/>
  <c r="H575" i="8"/>
  <c r="I570" i="8"/>
  <c r="H570" i="8"/>
  <c r="G570" i="8"/>
  <c r="I568" i="8"/>
  <c r="H568" i="8"/>
  <c r="G568" i="8"/>
  <c r="I566" i="8"/>
  <c r="H566" i="8"/>
  <c r="G566" i="8"/>
  <c r="I561" i="8"/>
  <c r="H561" i="8"/>
  <c r="G562" i="8"/>
  <c r="I559" i="8"/>
  <c r="I558" i="8" s="1"/>
  <c r="H559" i="8"/>
  <c r="H558" i="8" s="1"/>
  <c r="G558" i="8"/>
  <c r="I555" i="8"/>
  <c r="I554" i="8" s="1"/>
  <c r="H555" i="8"/>
  <c r="H554" i="8" s="1"/>
  <c r="G554" i="8"/>
  <c r="I553" i="8"/>
  <c r="I552" i="8" s="1"/>
  <c r="H553" i="8"/>
  <c r="H552" i="8" s="1"/>
  <c r="G552" i="8"/>
  <c r="I547" i="8"/>
  <c r="H547" i="8"/>
  <c r="G547" i="8"/>
  <c r="I545" i="8"/>
  <c r="H545" i="8"/>
  <c r="G545" i="8"/>
  <c r="I543" i="8"/>
  <c r="H543" i="8"/>
  <c r="G543" i="8"/>
  <c r="I541" i="8"/>
  <c r="H541" i="8"/>
  <c r="G541" i="8"/>
  <c r="I533" i="8"/>
  <c r="H533" i="8"/>
  <c r="G533" i="8"/>
  <c r="I531" i="8"/>
  <c r="H531" i="8"/>
  <c r="G531" i="8"/>
  <c r="I529" i="8"/>
  <c r="H529" i="8"/>
  <c r="G529" i="8"/>
  <c r="I527" i="8"/>
  <c r="H527" i="8"/>
  <c r="G527" i="8"/>
  <c r="I525" i="8"/>
  <c r="H525" i="8"/>
  <c r="G525" i="8"/>
  <c r="I520" i="8"/>
  <c r="H520" i="8"/>
  <c r="I518" i="8"/>
  <c r="H518" i="8"/>
  <c r="G518" i="8"/>
  <c r="I513" i="8"/>
  <c r="I512" i="8" s="1"/>
  <c r="H513" i="8"/>
  <c r="H512" i="8" s="1"/>
  <c r="G513" i="8"/>
  <c r="I509" i="8"/>
  <c r="H509" i="8"/>
  <c r="G509" i="8"/>
  <c r="I507" i="8"/>
  <c r="H507" i="8"/>
  <c r="G507" i="8"/>
  <c r="I506" i="8"/>
  <c r="I505" i="8" s="1"/>
  <c r="H506" i="8"/>
  <c r="H505" i="8" s="1"/>
  <c r="G505" i="8"/>
  <c r="I498" i="8"/>
  <c r="I497" i="8" s="1"/>
  <c r="H498" i="8"/>
  <c r="H497" i="8" s="1"/>
  <c r="G498" i="8"/>
  <c r="I495" i="8"/>
  <c r="I494" i="8" s="1"/>
  <c r="I493" i="8" s="1"/>
  <c r="I492" i="8" s="1"/>
  <c r="H495" i="8"/>
  <c r="H494" i="8" s="1"/>
  <c r="H493" i="8" s="1"/>
  <c r="H492" i="8" s="1"/>
  <c r="G494" i="8"/>
  <c r="I488" i="8"/>
  <c r="H488" i="8"/>
  <c r="G488" i="8"/>
  <c r="I485" i="8"/>
  <c r="I484" i="8" s="1"/>
  <c r="H485" i="8"/>
  <c r="H484" i="8" s="1"/>
  <c r="G484" i="8"/>
  <c r="I482" i="8"/>
  <c r="H482" i="8"/>
  <c r="G482" i="8"/>
  <c r="I480" i="8"/>
  <c r="H480" i="8"/>
  <c r="G480" i="8"/>
  <c r="I479" i="8"/>
  <c r="H479" i="8"/>
  <c r="G479" i="8"/>
  <c r="I478" i="8"/>
  <c r="H478" i="8"/>
  <c r="I473" i="8"/>
  <c r="H473" i="8"/>
  <c r="G473" i="8"/>
  <c r="I471" i="8"/>
  <c r="H471" i="8"/>
  <c r="G471" i="8"/>
  <c r="I470" i="8"/>
  <c r="I469" i="8" s="1"/>
  <c r="H470" i="8"/>
  <c r="H469" i="8" s="1"/>
  <c r="G470" i="8"/>
  <c r="G469" i="8" s="1"/>
  <c r="I468" i="8"/>
  <c r="I466" i="8" s="1"/>
  <c r="H468" i="8"/>
  <c r="H466" i="8" s="1"/>
  <c r="G468" i="8"/>
  <c r="G466" i="8" s="1"/>
  <c r="I457" i="8"/>
  <c r="H457" i="8"/>
  <c r="G457" i="8"/>
  <c r="I456" i="8"/>
  <c r="H456" i="8"/>
  <c r="G456" i="8"/>
  <c r="I455" i="8"/>
  <c r="H455" i="8"/>
  <c r="G455" i="8"/>
  <c r="I451" i="8"/>
  <c r="H451" i="8"/>
  <c r="G451" i="8"/>
  <c r="I450" i="8"/>
  <c r="H450" i="8"/>
  <c r="G450" i="8"/>
  <c r="I449" i="8"/>
  <c r="H449" i="8"/>
  <c r="G449" i="8"/>
  <c r="I445" i="8"/>
  <c r="H445" i="8"/>
  <c r="G445" i="8"/>
  <c r="I443" i="8"/>
  <c r="I442" i="8" s="1"/>
  <c r="H443" i="8"/>
  <c r="H442" i="8" s="1"/>
  <c r="G443" i="8"/>
  <c r="G442" i="8" s="1"/>
  <c r="I439" i="8"/>
  <c r="H439" i="8"/>
  <c r="G439" i="8"/>
  <c r="I437" i="8"/>
  <c r="H437" i="8"/>
  <c r="G437" i="8"/>
  <c r="G435" i="8"/>
  <c r="G434" i="8" s="1"/>
  <c r="I434" i="8"/>
  <c r="H434" i="8"/>
  <c r="I433" i="8"/>
  <c r="H433" i="8"/>
  <c r="G433" i="8"/>
  <c r="I432" i="8"/>
  <c r="H432" i="8"/>
  <c r="G432" i="8"/>
  <c r="I428" i="8"/>
  <c r="H428" i="8"/>
  <c r="G428" i="8"/>
  <c r="I427" i="8"/>
  <c r="H427" i="8"/>
  <c r="G427" i="8"/>
  <c r="I426" i="8"/>
  <c r="H426" i="8"/>
  <c r="G426" i="8"/>
  <c r="I424" i="8"/>
  <c r="H424" i="8"/>
  <c r="G424" i="8"/>
  <c r="I423" i="8"/>
  <c r="H423" i="8"/>
  <c r="G423" i="8"/>
  <c r="I421" i="8"/>
  <c r="H421" i="8"/>
  <c r="G421" i="8"/>
  <c r="I420" i="8"/>
  <c r="H420" i="8"/>
  <c r="G420" i="8"/>
  <c r="I418" i="8"/>
  <c r="H418" i="8"/>
  <c r="G418" i="8"/>
  <c r="I417" i="8"/>
  <c r="H417" i="8"/>
  <c r="G417" i="8"/>
  <c r="I415" i="8"/>
  <c r="H415" i="8"/>
  <c r="G415" i="8"/>
  <c r="I414" i="8"/>
  <c r="H414" i="8"/>
  <c r="G414" i="8"/>
  <c r="I410" i="8"/>
  <c r="H410" i="8"/>
  <c r="G410" i="8"/>
  <c r="I408" i="8"/>
  <c r="I407" i="8" s="1"/>
  <c r="H408" i="8"/>
  <c r="H407" i="8" s="1"/>
  <c r="G407" i="8"/>
  <c r="I406" i="8"/>
  <c r="I404" i="8" s="1"/>
  <c r="H406" i="8"/>
  <c r="H404" i="8" s="1"/>
  <c r="G404" i="8"/>
  <c r="I401" i="8"/>
  <c r="H401" i="8"/>
  <c r="G401" i="8"/>
  <c r="I398" i="8"/>
  <c r="H398" i="8"/>
  <c r="G398" i="8"/>
  <c r="G396" i="8"/>
  <c r="G395" i="8" s="1"/>
  <c r="I395" i="8"/>
  <c r="H395" i="8"/>
  <c r="I392" i="8"/>
  <c r="H392" i="8"/>
  <c r="I391" i="8"/>
  <c r="H391" i="8"/>
  <c r="I389" i="8"/>
  <c r="I388" i="8" s="1"/>
  <c r="H389" i="8"/>
  <c r="H388" i="8" s="1"/>
  <c r="G388" i="8"/>
  <c r="I384" i="8"/>
  <c r="I383" i="8" s="1"/>
  <c r="H384" i="8"/>
  <c r="H383" i="8" s="1"/>
  <c r="G384" i="8"/>
  <c r="G381" i="8"/>
  <c r="G380" i="8" s="1"/>
  <c r="I380" i="8"/>
  <c r="I379" i="8" s="1"/>
  <c r="I378" i="8" s="1"/>
  <c r="H380" i="8"/>
  <c r="H379" i="8" s="1"/>
  <c r="H378" i="8" s="1"/>
  <c r="I375" i="8"/>
  <c r="I374" i="8" s="1"/>
  <c r="I373" i="8" s="1"/>
  <c r="H375" i="8"/>
  <c r="H374" i="8" s="1"/>
  <c r="H373" i="8" s="1"/>
  <c r="G375" i="8"/>
  <c r="I370" i="8"/>
  <c r="I369" i="8" s="1"/>
  <c r="H370" i="8"/>
  <c r="H369" i="8" s="1"/>
  <c r="G369" i="8"/>
  <c r="I366" i="8"/>
  <c r="I365" i="8" s="1"/>
  <c r="H366" i="8"/>
  <c r="H365" i="8" s="1"/>
  <c r="G365" i="8"/>
  <c r="I361" i="8"/>
  <c r="H361" i="8"/>
  <c r="G361" i="8"/>
  <c r="I359" i="8"/>
  <c r="H359" i="8"/>
  <c r="G359" i="8"/>
  <c r="I356" i="8"/>
  <c r="H356" i="8"/>
  <c r="G356" i="8"/>
  <c r="I352" i="8"/>
  <c r="H352" i="8"/>
  <c r="G352" i="8"/>
  <c r="I349" i="8"/>
  <c r="H349" i="8"/>
  <c r="I345" i="8"/>
  <c r="H345" i="8"/>
  <c r="G345" i="8"/>
  <c r="I344" i="8"/>
  <c r="I342" i="8" s="1"/>
  <c r="H344" i="8"/>
  <c r="H342" i="8" s="1"/>
  <c r="G342" i="8"/>
  <c r="G341" i="8"/>
  <c r="G340" i="8" s="1"/>
  <c r="I340" i="8"/>
  <c r="H340" i="8"/>
  <c r="I335" i="8"/>
  <c r="H335" i="8"/>
  <c r="G335" i="8"/>
  <c r="I334" i="8"/>
  <c r="I331" i="8" s="1"/>
  <c r="H334" i="8"/>
  <c r="H331" i="8" s="1"/>
  <c r="G331" i="8"/>
  <c r="I329" i="8"/>
  <c r="H329" i="8"/>
  <c r="G329" i="8"/>
  <c r="I326" i="8"/>
  <c r="H326" i="8"/>
  <c r="G326" i="8"/>
  <c r="I324" i="8"/>
  <c r="H324" i="8"/>
  <c r="G324" i="8"/>
  <c r="I323" i="8"/>
  <c r="I321" i="8" s="1"/>
  <c r="H323" i="8"/>
  <c r="H321" i="8" s="1"/>
  <c r="G323" i="8"/>
  <c r="G321" i="8" s="1"/>
  <c r="I319" i="8"/>
  <c r="H319" i="8"/>
  <c r="G319" i="8"/>
  <c r="I317" i="8"/>
  <c r="H317" i="8"/>
  <c r="G317" i="8"/>
  <c r="I315" i="8"/>
  <c r="H315" i="8"/>
  <c r="G315" i="8"/>
  <c r="I314" i="8"/>
  <c r="H314" i="8"/>
  <c r="G314" i="8"/>
  <c r="I313" i="8"/>
  <c r="H313" i="8"/>
  <c r="G313" i="8"/>
  <c r="I308" i="8"/>
  <c r="H308" i="8"/>
  <c r="I306" i="8"/>
  <c r="H306" i="8"/>
  <c r="G305" i="8"/>
  <c r="I304" i="8"/>
  <c r="I303" i="8" s="1"/>
  <c r="H304" i="8"/>
  <c r="H303" i="8" s="1"/>
  <c r="G303" i="8"/>
  <c r="I301" i="8"/>
  <c r="I300" i="8" s="1"/>
  <c r="H301" i="8"/>
  <c r="H300" i="8"/>
  <c r="G300" i="8"/>
  <c r="I299" i="8"/>
  <c r="H299" i="8"/>
  <c r="I298" i="8"/>
  <c r="H298" i="8"/>
  <c r="G297" i="8"/>
  <c r="I290" i="8"/>
  <c r="H290" i="8"/>
  <c r="G290" i="8"/>
  <c r="I286" i="8"/>
  <c r="H286" i="8"/>
  <c r="G286" i="8"/>
  <c r="I283" i="8"/>
  <c r="H283" i="8"/>
  <c r="G283" i="8"/>
  <c r="I281" i="8"/>
  <c r="H281" i="8"/>
  <c r="G281" i="8"/>
  <c r="I280" i="8"/>
  <c r="I278" i="8" s="1"/>
  <c r="H280" i="8"/>
  <c r="H278" i="8" s="1"/>
  <c r="G278" i="8"/>
  <c r="I276" i="8"/>
  <c r="H276" i="8"/>
  <c r="G276" i="8"/>
  <c r="I274" i="8"/>
  <c r="I273" i="8" s="1"/>
  <c r="H274" i="8"/>
  <c r="H273" i="8" s="1"/>
  <c r="G273" i="8"/>
  <c r="I272" i="8"/>
  <c r="I271" i="8" s="1"/>
  <c r="H272" i="8"/>
  <c r="H271" i="8" s="1"/>
  <c r="G272" i="8"/>
  <c r="G271" i="8" s="1"/>
  <c r="I267" i="8"/>
  <c r="H267" i="8"/>
  <c r="G267" i="8"/>
  <c r="I266" i="8"/>
  <c r="I264" i="8" s="1"/>
  <c r="H266" i="8"/>
  <c r="H264" i="8" s="1"/>
  <c r="G266" i="8"/>
  <c r="G264" i="8" s="1"/>
  <c r="I263" i="8"/>
  <c r="H263" i="8"/>
  <c r="G263" i="8"/>
  <c r="I262" i="8"/>
  <c r="H262" i="8"/>
  <c r="G262" i="8"/>
  <c r="I260" i="8"/>
  <c r="H260" i="8"/>
  <c r="I259" i="8"/>
  <c r="H259" i="8"/>
  <c r="G259" i="8"/>
  <c r="I256" i="8"/>
  <c r="I254" i="8" s="1"/>
  <c r="H256" i="8"/>
  <c r="H254" i="8" s="1"/>
  <c r="G254" i="8"/>
  <c r="I252" i="8"/>
  <c r="H252" i="8"/>
  <c r="G252" i="8"/>
  <c r="I250" i="8"/>
  <c r="H250" i="8"/>
  <c r="G250" i="8"/>
  <c r="I249" i="8"/>
  <c r="H249" i="8"/>
  <c r="I248" i="8"/>
  <c r="H248" i="8"/>
  <c r="I247" i="8"/>
  <c r="H247" i="8"/>
  <c r="I245" i="8"/>
  <c r="H245" i="8"/>
  <c r="G245" i="8"/>
  <c r="I244" i="8"/>
  <c r="H244" i="8"/>
  <c r="I243" i="8"/>
  <c r="H243" i="8"/>
  <c r="I239" i="8"/>
  <c r="H239" i="8"/>
  <c r="I238" i="8"/>
  <c r="H238" i="8"/>
  <c r="I237" i="8"/>
  <c r="H237" i="8"/>
  <c r="I235" i="8"/>
  <c r="H235" i="8"/>
  <c r="I234" i="8"/>
  <c r="H234" i="8"/>
  <c r="I233" i="8"/>
  <c r="H233" i="8"/>
  <c r="I230" i="8"/>
  <c r="H230" i="8"/>
  <c r="G230" i="8"/>
  <c r="I225" i="8"/>
  <c r="I224" i="8" s="1"/>
  <c r="H225" i="8"/>
  <c r="H224" i="8" s="1"/>
  <c r="G225" i="8"/>
  <c r="I223" i="8"/>
  <c r="I222" i="8" s="1"/>
  <c r="H223" i="8"/>
  <c r="H222" i="8" s="1"/>
  <c r="G222" i="8"/>
  <c r="I221" i="8"/>
  <c r="I220" i="8" s="1"/>
  <c r="H221" i="8"/>
  <c r="H220" i="8" s="1"/>
  <c r="G220" i="8"/>
  <c r="I218" i="8"/>
  <c r="H218" i="8"/>
  <c r="I217" i="8"/>
  <c r="H217" i="8"/>
  <c r="I212" i="8"/>
  <c r="I211" i="8" s="1"/>
  <c r="H212" i="8"/>
  <c r="H211" i="8" s="1"/>
  <c r="G211" i="8"/>
  <c r="I210" i="8"/>
  <c r="H210" i="8"/>
  <c r="G210" i="8"/>
  <c r="I209" i="8"/>
  <c r="H209" i="8"/>
  <c r="I208" i="8"/>
  <c r="H208" i="8"/>
  <c r="I202" i="8"/>
  <c r="I201" i="8" s="1"/>
  <c r="H202" i="8"/>
  <c r="H201" i="8" s="1"/>
  <c r="G202" i="8"/>
  <c r="I200" i="8"/>
  <c r="I199" i="8" s="1"/>
  <c r="H200" i="8"/>
  <c r="H199" i="8" s="1"/>
  <c r="G199" i="8"/>
  <c r="I198" i="8"/>
  <c r="I197" i="8" s="1"/>
  <c r="H198" i="8"/>
  <c r="H197" i="8" s="1"/>
  <c r="G198" i="8"/>
  <c r="G197" i="8" s="1"/>
  <c r="I193" i="8"/>
  <c r="I192" i="8" s="1"/>
  <c r="I191" i="8" s="1"/>
  <c r="H193" i="8"/>
  <c r="H192" i="8" s="1"/>
  <c r="H191" i="8" s="1"/>
  <c r="G193" i="8"/>
  <c r="I189" i="8"/>
  <c r="H189" i="8"/>
  <c r="G189" i="8"/>
  <c r="I187" i="8"/>
  <c r="H187" i="8"/>
  <c r="G187" i="8"/>
  <c r="I183" i="8"/>
  <c r="I182" i="8" s="1"/>
  <c r="H183" i="8"/>
  <c r="H182" i="8" s="1"/>
  <c r="G182" i="8"/>
  <c r="I179" i="8"/>
  <c r="H179" i="8"/>
  <c r="G179" i="8"/>
  <c r="I177" i="8"/>
  <c r="H177" i="8"/>
  <c r="G177" i="8"/>
  <c r="I174" i="8"/>
  <c r="H174" i="8"/>
  <c r="G174" i="8"/>
  <c r="I172" i="8"/>
  <c r="H172" i="8"/>
  <c r="G172" i="8"/>
  <c r="I170" i="8"/>
  <c r="H170" i="8"/>
  <c r="G170" i="8"/>
  <c r="I168" i="8"/>
  <c r="H168" i="8"/>
  <c r="G168" i="8"/>
  <c r="I163" i="8"/>
  <c r="I162" i="8" s="1"/>
  <c r="I161" i="8" s="1"/>
  <c r="H163" i="8"/>
  <c r="H162" i="8" s="1"/>
  <c r="H161" i="8" s="1"/>
  <c r="G162" i="8"/>
  <c r="I159" i="8"/>
  <c r="I158" i="8" s="1"/>
  <c r="H159" i="8"/>
  <c r="H158" i="8" s="1"/>
  <c r="G159" i="8"/>
  <c r="I157" i="8"/>
  <c r="I156" i="8" s="1"/>
  <c r="H157" i="8"/>
  <c r="H156" i="8" s="1"/>
  <c r="G156" i="8"/>
  <c r="I154" i="8"/>
  <c r="H154" i="8"/>
  <c r="G154" i="8"/>
  <c r="I153" i="8"/>
  <c r="I152" i="8" s="1"/>
  <c r="H153" i="8"/>
  <c r="H152" i="8" s="1"/>
  <c r="G152" i="8"/>
  <c r="I150" i="8"/>
  <c r="H150" i="8"/>
  <c r="G150" i="8"/>
  <c r="I148" i="8"/>
  <c r="H148" i="8"/>
  <c r="G148" i="8"/>
  <c r="I143" i="8"/>
  <c r="I142" i="8" s="1"/>
  <c r="I141" i="8" s="1"/>
  <c r="H143" i="8"/>
  <c r="H142" i="8" s="1"/>
  <c r="H141" i="8" s="1"/>
  <c r="G142" i="8"/>
  <c r="I140" i="8"/>
  <c r="I139" i="8" s="1"/>
  <c r="H140" i="8"/>
  <c r="H139" i="8" s="1"/>
  <c r="G139" i="8"/>
  <c r="I137" i="8"/>
  <c r="H137" i="8"/>
  <c r="G137" i="8"/>
  <c r="I133" i="8"/>
  <c r="I132" i="8" s="1"/>
  <c r="I131" i="8" s="1"/>
  <c r="I130" i="8" s="1"/>
  <c r="H133" i="8"/>
  <c r="H132" i="8" s="1"/>
  <c r="H131" i="8" s="1"/>
  <c r="H130" i="8" s="1"/>
  <c r="I128" i="8"/>
  <c r="I127" i="8" s="1"/>
  <c r="I126" i="8" s="1"/>
  <c r="H128" i="8"/>
  <c r="H127" i="8" s="1"/>
  <c r="H126" i="8" s="1"/>
  <c r="G128" i="8"/>
  <c r="I121" i="8"/>
  <c r="I120" i="8" s="1"/>
  <c r="H121" i="8"/>
  <c r="H120" i="8" s="1"/>
  <c r="G121" i="8"/>
  <c r="I118" i="8"/>
  <c r="H118" i="8"/>
  <c r="G118" i="8"/>
  <c r="I116" i="8"/>
  <c r="H116" i="8"/>
  <c r="G116" i="8"/>
  <c r="I112" i="8"/>
  <c r="H112" i="8"/>
  <c r="G112" i="8"/>
  <c r="I110" i="8"/>
  <c r="H110" i="8"/>
  <c r="G110" i="8"/>
  <c r="I109" i="8"/>
  <c r="I107" i="8" s="1"/>
  <c r="H109" i="8"/>
  <c r="H107" i="8" s="1"/>
  <c r="I105" i="8"/>
  <c r="H105" i="8"/>
  <c r="G105" i="8"/>
  <c r="I101" i="8"/>
  <c r="I100" i="8" s="1"/>
  <c r="I99" i="8" s="1"/>
  <c r="I98" i="8" s="1"/>
  <c r="H101" i="8"/>
  <c r="H100" i="8" s="1"/>
  <c r="H99" i="8" s="1"/>
  <c r="H98" i="8" s="1"/>
  <c r="G100" i="8"/>
  <c r="G90" i="8"/>
  <c r="I90" i="8"/>
  <c r="H90" i="8"/>
  <c r="I88" i="8"/>
  <c r="I87" i="8" s="1"/>
  <c r="H88" i="8"/>
  <c r="H87" i="8" s="1"/>
  <c r="I85" i="8"/>
  <c r="H85" i="8"/>
  <c r="G85" i="8"/>
  <c r="I79" i="8"/>
  <c r="H79" i="8"/>
  <c r="G79" i="8"/>
  <c r="I77" i="8"/>
  <c r="H77" i="8"/>
  <c r="G77" i="8"/>
  <c r="I73" i="8"/>
  <c r="H73" i="8"/>
  <c r="G73" i="8"/>
  <c r="I71" i="8"/>
  <c r="H71" i="8"/>
  <c r="G71" i="8"/>
  <c r="I69" i="8"/>
  <c r="H69" i="8"/>
  <c r="G69" i="8"/>
  <c r="I67" i="8"/>
  <c r="H67" i="8"/>
  <c r="I66" i="8"/>
  <c r="H66" i="8"/>
  <c r="G65" i="8"/>
  <c r="I61" i="8"/>
  <c r="H61" i="8"/>
  <c r="G61" i="8"/>
  <c r="I60" i="8"/>
  <c r="H60" i="8"/>
  <c r="I59" i="8"/>
  <c r="H59" i="8"/>
  <c r="I57" i="8"/>
  <c r="I56" i="8" s="1"/>
  <c r="H57" i="8"/>
  <c r="H56" i="8" s="1"/>
  <c r="G56" i="8"/>
  <c r="I54" i="8"/>
  <c r="H54" i="8"/>
  <c r="G54" i="8"/>
  <c r="I52" i="8"/>
  <c r="H52" i="8"/>
  <c r="G52" i="8"/>
  <c r="I50" i="8"/>
  <c r="H50" i="8"/>
  <c r="G50" i="8"/>
  <c r="I49" i="8"/>
  <c r="I48" i="8" s="1"/>
  <c r="H49" i="8"/>
  <c r="H48" i="8" s="1"/>
  <c r="G48" i="8"/>
  <c r="I47" i="8"/>
  <c r="I46" i="8" s="1"/>
  <c r="H47" i="8"/>
  <c r="H46" i="8" s="1"/>
  <c r="G46" i="8"/>
  <c r="I45" i="8"/>
  <c r="I44" i="8" s="1"/>
  <c r="H45" i="8"/>
  <c r="H44" i="8" s="1"/>
  <c r="G44" i="8"/>
  <c r="I42" i="8"/>
  <c r="H42" i="8"/>
  <c r="G42" i="8"/>
  <c r="I40" i="8"/>
  <c r="I39" i="8" s="1"/>
  <c r="I38" i="8" s="1"/>
  <c r="H40" i="8"/>
  <c r="H39" i="8" s="1"/>
  <c r="H38" i="8" s="1"/>
  <c r="G40" i="8"/>
  <c r="G39" i="8" s="1"/>
  <c r="I36" i="8"/>
  <c r="I35" i="8" s="1"/>
  <c r="H36" i="8"/>
  <c r="H35" i="8" s="1"/>
  <c r="G36" i="8"/>
  <c r="I34" i="8"/>
  <c r="H34" i="8"/>
  <c r="I33" i="8"/>
  <c r="H33" i="8"/>
  <c r="G32" i="8"/>
  <c r="I31" i="8"/>
  <c r="H31" i="8"/>
  <c r="I30" i="8"/>
  <c r="H30" i="8"/>
  <c r="I29" i="8"/>
  <c r="H29" i="8"/>
  <c r="G28" i="8"/>
  <c r="G26" i="8"/>
  <c r="G25" i="8" s="1"/>
  <c r="I25" i="8"/>
  <c r="H25" i="8"/>
  <c r="I24" i="8"/>
  <c r="H24" i="8"/>
  <c r="G24" i="8"/>
  <c r="I23" i="8"/>
  <c r="H23" i="8"/>
  <c r="I17" i="8"/>
  <c r="H17" i="8"/>
  <c r="G17" i="8"/>
  <c r="G535" i="8" l="1"/>
  <c r="H535" i="8"/>
  <c r="I535" i="8"/>
  <c r="I258" i="8"/>
  <c r="H297" i="8"/>
  <c r="H305" i="8"/>
  <c r="G127" i="8"/>
  <c r="G161" i="8"/>
  <c r="G224" i="8"/>
  <c r="G374" i="8"/>
  <c r="G38" i="8"/>
  <c r="G99" i="8"/>
  <c r="G120" i="8"/>
  <c r="G158" i="8"/>
  <c r="G379" i="8"/>
  <c r="G35" i="8"/>
  <c r="G192" i="8"/>
  <c r="G383" i="8"/>
  <c r="G497" i="8"/>
  <c r="G512" i="8"/>
  <c r="G561" i="8"/>
  <c r="G141" i="8"/>
  <c r="G201" i="8"/>
  <c r="G493" i="8"/>
  <c r="I390" i="8"/>
  <c r="H454" i="8"/>
  <c r="I454" i="8"/>
  <c r="H22" i="8"/>
  <c r="I297" i="8"/>
  <c r="I236" i="8"/>
  <c r="H565" i="8"/>
  <c r="H560" i="8" s="1"/>
  <c r="I76" i="8"/>
  <c r="I75" i="8" s="1"/>
  <c r="G565" i="8"/>
  <c r="I196" i="8"/>
  <c r="I195" i="8" s="1"/>
  <c r="I216" i="8"/>
  <c r="I215" i="8" s="1"/>
  <c r="I214" i="8" s="1"/>
  <c r="I213" i="8" s="1"/>
  <c r="I413" i="8"/>
  <c r="H419" i="8"/>
  <c r="I425" i="8"/>
  <c r="G216" i="8"/>
  <c r="H216" i="8"/>
  <c r="H215" i="8" s="1"/>
  <c r="H214" i="8" s="1"/>
  <c r="H213" i="8" s="1"/>
  <c r="I261" i="8"/>
  <c r="G413" i="8"/>
  <c r="H477" i="8"/>
  <c r="H476" i="8" s="1"/>
  <c r="G22" i="8"/>
  <c r="I58" i="8"/>
  <c r="I41" i="8" s="1"/>
  <c r="I82" i="8"/>
  <c r="I81" i="8" s="1"/>
  <c r="G186" i="8"/>
  <c r="H261" i="8"/>
  <c r="H275" i="8"/>
  <c r="I312" i="8"/>
  <c r="I311" i="8" s="1"/>
  <c r="I431" i="8"/>
  <c r="I565" i="8"/>
  <c r="I560" i="8" s="1"/>
  <c r="G477" i="8"/>
  <c r="I65" i="8"/>
  <c r="I64" i="8" s="1"/>
  <c r="I63" i="8" s="1"/>
  <c r="I104" i="8"/>
  <c r="I103" i="8" s="1"/>
  <c r="G87" i="8"/>
  <c r="H136" i="8"/>
  <c r="H135" i="8" s="1"/>
  <c r="I186" i="8"/>
  <c r="I185" i="8" s="1"/>
  <c r="I232" i="8"/>
  <c r="G242" i="8"/>
  <c r="G261" i="8"/>
  <c r="I270" i="8"/>
  <c r="H312" i="8"/>
  <c r="H311" i="8" s="1"/>
  <c r="H500" i="8"/>
  <c r="H496" i="8" s="1"/>
  <c r="I515" i="8"/>
  <c r="I242" i="8"/>
  <c r="G328" i="8"/>
  <c r="G58" i="8"/>
  <c r="H76" i="8"/>
  <c r="H75" i="8" s="1"/>
  <c r="H186" i="8"/>
  <c r="H185" i="8" s="1"/>
  <c r="G207" i="8"/>
  <c r="I305" i="8"/>
  <c r="I275" i="8" s="1"/>
  <c r="H390" i="8"/>
  <c r="H387" i="8" s="1"/>
  <c r="I416" i="8"/>
  <c r="G419" i="8"/>
  <c r="I500" i="8"/>
  <c r="I496" i="8" s="1"/>
  <c r="H65" i="8"/>
  <c r="H64" i="8" s="1"/>
  <c r="H63" i="8" s="1"/>
  <c r="G232" i="8"/>
  <c r="G339" i="8"/>
  <c r="G364" i="8"/>
  <c r="I419" i="8"/>
  <c r="H425" i="8"/>
  <c r="I147" i="8"/>
  <c r="I146" i="8" s="1"/>
  <c r="H416" i="8"/>
  <c r="I448" i="8"/>
  <c r="I477" i="8"/>
  <c r="I476" i="8" s="1"/>
  <c r="G500" i="8"/>
  <c r="H515" i="8"/>
  <c r="G136" i="8"/>
  <c r="H147" i="8"/>
  <c r="H146" i="8" s="1"/>
  <c r="H58" i="8"/>
  <c r="H41" i="8" s="1"/>
  <c r="G76" i="8"/>
  <c r="H82" i="8"/>
  <c r="H81" i="8" s="1"/>
  <c r="I136" i="8"/>
  <c r="I135" i="8" s="1"/>
  <c r="I229" i="8"/>
  <c r="H236" i="8"/>
  <c r="H242" i="8"/>
  <c r="G246" i="8"/>
  <c r="I246" i="8"/>
  <c r="G258" i="8"/>
  <c r="G270" i="8"/>
  <c r="H339" i="8"/>
  <c r="H338" i="8" s="1"/>
  <c r="H348" i="8"/>
  <c r="I364" i="8"/>
  <c r="G390" i="8"/>
  <c r="H413" i="8"/>
  <c r="G422" i="8"/>
  <c r="H422" i="8"/>
  <c r="G431" i="8"/>
  <c r="G448" i="8"/>
  <c r="G460" i="8"/>
  <c r="G515" i="8"/>
  <c r="I167" i="8"/>
  <c r="I166" i="8" s="1"/>
  <c r="G348" i="8"/>
  <c r="I28" i="8"/>
  <c r="G64" i="8"/>
  <c r="H104" i="8"/>
  <c r="H103" i="8" s="1"/>
  <c r="G147" i="8"/>
  <c r="G167" i="8"/>
  <c r="H167" i="8"/>
  <c r="H166" i="8" s="1"/>
  <c r="G196" i="8"/>
  <c r="H232" i="8"/>
  <c r="H328" i="8"/>
  <c r="I339" i="8"/>
  <c r="I338" i="8" s="1"/>
  <c r="I348" i="8"/>
  <c r="I422" i="8"/>
  <c r="H431" i="8"/>
  <c r="H448" i="8"/>
  <c r="H460" i="8"/>
  <c r="I22" i="8"/>
  <c r="H28" i="8"/>
  <c r="H32" i="8"/>
  <c r="I32" i="8"/>
  <c r="H196" i="8"/>
  <c r="H195" i="8" s="1"/>
  <c r="H207" i="8"/>
  <c r="H206" i="8" s="1"/>
  <c r="H205" i="8" s="1"/>
  <c r="H204" i="8" s="1"/>
  <c r="G312" i="8"/>
  <c r="I328" i="8"/>
  <c r="H364" i="8"/>
  <c r="I387" i="8"/>
  <c r="G416" i="8"/>
  <c r="G425" i="8"/>
  <c r="G454" i="8"/>
  <c r="I460" i="8"/>
  <c r="G104" i="8"/>
  <c r="H258" i="8"/>
  <c r="G275" i="8"/>
  <c r="I551" i="8"/>
  <c r="I207" i="8"/>
  <c r="I206" i="8" s="1"/>
  <c r="I205" i="8" s="1"/>
  <c r="I204" i="8" s="1"/>
  <c r="G236" i="8"/>
  <c r="H246" i="8"/>
  <c r="H270" i="8"/>
  <c r="G551" i="8"/>
  <c r="H551" i="8"/>
  <c r="G103" i="8" l="1"/>
  <c r="G311" i="8"/>
  <c r="G63" i="8"/>
  <c r="G75" i="8"/>
  <c r="G41" i="8"/>
  <c r="G82" i="8"/>
  <c r="G21" i="8"/>
  <c r="G166" i="8"/>
  <c r="G496" i="8"/>
  <c r="G338" i="8"/>
  <c r="G206" i="8"/>
  <c r="G185" i="8"/>
  <c r="G560" i="8"/>
  <c r="G492" i="8"/>
  <c r="G98" i="8"/>
  <c r="G373" i="8"/>
  <c r="G146" i="8"/>
  <c r="G215" i="8"/>
  <c r="G195" i="8"/>
  <c r="G387" i="8"/>
  <c r="G135" i="8"/>
  <c r="G476" i="8"/>
  <c r="G191" i="8"/>
  <c r="G378" i="8"/>
  <c r="G126" i="8"/>
  <c r="H229" i="8"/>
  <c r="G229" i="8"/>
  <c r="G347" i="8"/>
  <c r="I241" i="8"/>
  <c r="I228" i="8" s="1"/>
  <c r="H347" i="8"/>
  <c r="H337" i="8" s="1"/>
  <c r="H165" i="8"/>
  <c r="H310" i="8"/>
  <c r="H241" i="8"/>
  <c r="I310" i="8"/>
  <c r="I400" i="8"/>
  <c r="I382" i="8" s="1"/>
  <c r="I377" i="8" s="1"/>
  <c r="G241" i="8"/>
  <c r="G134" i="8"/>
  <c r="G310" i="8"/>
  <c r="I347" i="8"/>
  <c r="I337" i="8" s="1"/>
  <c r="I165" i="8"/>
  <c r="H21" i="8"/>
  <c r="H16" i="8" s="1"/>
  <c r="H15" i="8" s="1"/>
  <c r="H511" i="8"/>
  <c r="H491" i="8" s="1"/>
  <c r="G400" i="8"/>
  <c r="H400" i="8"/>
  <c r="H382" i="8" s="1"/>
  <c r="H377" i="8" s="1"/>
  <c r="I511" i="8"/>
  <c r="I491" i="8" s="1"/>
  <c r="G511" i="8"/>
  <c r="I134" i="8"/>
  <c r="I21" i="8"/>
  <c r="I16" i="8" s="1"/>
  <c r="I15" i="8" s="1"/>
  <c r="H134" i="8"/>
  <c r="G16" i="8" l="1"/>
  <c r="G165" i="8"/>
  <c r="G491" i="8"/>
  <c r="G214" i="8"/>
  <c r="G81" i="8"/>
  <c r="H228" i="8"/>
  <c r="H227" i="8" s="1"/>
  <c r="H572" i="8" s="1"/>
  <c r="I227" i="8"/>
  <c r="I572" i="8" s="1"/>
  <c r="G382" i="8"/>
  <c r="G337" i="8"/>
  <c r="G205" i="8"/>
  <c r="G228" i="8"/>
  <c r="G15" i="8" l="1"/>
  <c r="G377" i="8"/>
  <c r="G213" i="8"/>
  <c r="G204" i="8"/>
  <c r="G227" i="8"/>
  <c r="I576" i="8"/>
  <c r="H576" i="8"/>
  <c r="G572" i="8" l="1"/>
  <c r="I323" i="7"/>
  <c r="H323" i="7"/>
  <c r="G323" i="7"/>
  <c r="G531" i="7"/>
  <c r="I531" i="7"/>
  <c r="H531" i="7"/>
  <c r="I138" i="7"/>
  <c r="H138" i="7"/>
  <c r="G138" i="7"/>
  <c r="I134" i="7"/>
  <c r="H134" i="7"/>
  <c r="G134" i="7"/>
  <c r="I126" i="7"/>
  <c r="H126" i="7"/>
  <c r="G126" i="7"/>
  <c r="I123" i="7"/>
  <c r="H123" i="7"/>
  <c r="G123" i="7"/>
  <c r="I346" i="7"/>
  <c r="H346" i="7"/>
  <c r="G346" i="7"/>
  <c r="H255" i="7"/>
  <c r="I218" i="7"/>
  <c r="H218" i="7"/>
  <c r="I255" i="7"/>
  <c r="G255" i="7"/>
  <c r="I220" i="7"/>
  <c r="H220" i="7"/>
  <c r="G220" i="7"/>
  <c r="G218" i="7"/>
  <c r="I287" i="7"/>
  <c r="I285" i="7"/>
  <c r="H287" i="7"/>
  <c r="H285" i="7"/>
  <c r="G285" i="7"/>
  <c r="G287" i="7"/>
  <c r="H283" i="7"/>
  <c r="I283" i="7"/>
  <c r="G283" i="7"/>
  <c r="H219" i="7"/>
  <c r="I219" i="7"/>
  <c r="G367" i="7"/>
  <c r="I367" i="7"/>
  <c r="H367" i="7"/>
  <c r="I280" i="7"/>
  <c r="H280" i="7"/>
  <c r="G280" i="7"/>
  <c r="I189" i="7"/>
  <c r="H189" i="7"/>
  <c r="G189" i="7"/>
  <c r="I193" i="7"/>
  <c r="H193" i="7"/>
  <c r="G193" i="7"/>
  <c r="I204" i="7"/>
  <c r="H204" i="7"/>
  <c r="G204" i="7"/>
  <c r="I202" i="7"/>
  <c r="H202" i="7"/>
  <c r="G202" i="7"/>
  <c r="I198" i="7"/>
  <c r="H198" i="7"/>
  <c r="G198" i="7"/>
  <c r="I24" i="7"/>
  <c r="H24" i="7"/>
  <c r="G24" i="7"/>
  <c r="I15" i="7"/>
  <c r="H15" i="7"/>
  <c r="G15" i="7"/>
  <c r="I513" i="7"/>
  <c r="H513" i="7"/>
  <c r="G513" i="7"/>
  <c r="I518" i="7"/>
  <c r="H518" i="7"/>
  <c r="G518" i="7"/>
  <c r="I467" i="7"/>
  <c r="H467" i="7"/>
  <c r="G467" i="7"/>
  <c r="I61" i="7"/>
  <c r="H61" i="7"/>
  <c r="G61" i="7"/>
  <c r="I54" i="7"/>
  <c r="H54" i="7"/>
  <c r="G54" i="7"/>
  <c r="I42" i="7"/>
  <c r="H42" i="7"/>
  <c r="G42" i="7"/>
  <c r="I52" i="7"/>
  <c r="H52" i="7"/>
  <c r="G52" i="7"/>
  <c r="I28" i="7"/>
  <c r="H28" i="7"/>
  <c r="G28" i="7"/>
  <c r="I164" i="7"/>
  <c r="H164" i="7"/>
  <c r="G164" i="7"/>
  <c r="I515" i="7"/>
  <c r="H515" i="7"/>
  <c r="G515" i="7"/>
  <c r="I342" i="7"/>
  <c r="H342" i="7"/>
  <c r="G342" i="7"/>
  <c r="I144" i="7"/>
  <c r="H144" i="7"/>
  <c r="G144" i="7"/>
  <c r="G576" i="8" l="1"/>
  <c r="I40" i="7"/>
  <c r="H40" i="7"/>
  <c r="I116" i="7" l="1"/>
  <c r="H116" i="7"/>
  <c r="G82" i="7" l="1"/>
  <c r="I78" i="7"/>
  <c r="H78" i="7"/>
  <c r="G78" i="7"/>
  <c r="I492" i="7" l="1"/>
  <c r="H492" i="7"/>
  <c r="G492" i="7"/>
  <c r="G495" i="7"/>
  <c r="H253" i="7" l="1"/>
  <c r="H252" i="7" s="1"/>
  <c r="I253" i="7"/>
  <c r="I252" i="7" s="1"/>
  <c r="G253" i="7"/>
  <c r="G252" i="7" s="1"/>
  <c r="I244" i="7"/>
  <c r="H244" i="7"/>
  <c r="G244" i="7"/>
  <c r="I243" i="7"/>
  <c r="H243" i="7"/>
  <c r="G243" i="7"/>
  <c r="I242" i="7" l="1"/>
  <c r="G242" i="7"/>
  <c r="H242" i="7"/>
  <c r="I457" i="7" l="1"/>
  <c r="H457" i="7"/>
  <c r="G457" i="7"/>
  <c r="I355" i="7"/>
  <c r="I354" i="7" s="1"/>
  <c r="I353" i="7" s="1"/>
  <c r="H355" i="7"/>
  <c r="H354" i="7" s="1"/>
  <c r="H353" i="7" s="1"/>
  <c r="G356" i="7"/>
  <c r="G355" i="7" s="1"/>
  <c r="G354" i="7" s="1"/>
  <c r="G353" i="7" s="1"/>
  <c r="I366" i="7"/>
  <c r="I365" i="7" s="1"/>
  <c r="H366" i="7"/>
  <c r="H365" i="7" s="1"/>
  <c r="G366" i="7"/>
  <c r="G365" i="7" s="1"/>
  <c r="I364" i="7"/>
  <c r="H364" i="7"/>
  <c r="G364" i="7"/>
  <c r="I425" i="7"/>
  <c r="I424" i="7"/>
  <c r="H425" i="7"/>
  <c r="H424" i="7"/>
  <c r="G425" i="7"/>
  <c r="G424" i="7"/>
  <c r="I442" i="7"/>
  <c r="I441" i="7" s="1"/>
  <c r="H442" i="7"/>
  <c r="H441" i="7" s="1"/>
  <c r="G442" i="7"/>
  <c r="G441" i="7" s="1"/>
  <c r="I443" i="7"/>
  <c r="H443" i="7"/>
  <c r="G443" i="7"/>
  <c r="I440" i="7"/>
  <c r="H440" i="7"/>
  <c r="G440" i="7"/>
  <c r="I381" i="7"/>
  <c r="H381" i="7"/>
  <c r="G381" i="7"/>
  <c r="I179" i="7"/>
  <c r="H179" i="7"/>
  <c r="G179" i="7"/>
  <c r="I181" i="7"/>
  <c r="H181" i="7"/>
  <c r="G181" i="7"/>
  <c r="I261" i="7"/>
  <c r="I259" i="7" s="1"/>
  <c r="H261" i="7"/>
  <c r="H259" i="7" s="1"/>
  <c r="G261" i="7"/>
  <c r="G259" i="7" s="1"/>
  <c r="I247" i="7"/>
  <c r="I245" i="7" s="1"/>
  <c r="H247" i="7"/>
  <c r="H245" i="7" s="1"/>
  <c r="G247" i="7"/>
  <c r="G245" i="7" s="1"/>
  <c r="I277" i="7"/>
  <c r="H277" i="7"/>
  <c r="G277" i="7"/>
  <c r="I230" i="7"/>
  <c r="I229" i="7"/>
  <c r="I228" i="7"/>
  <c r="H230" i="7"/>
  <c r="H229" i="7"/>
  <c r="H228" i="7"/>
  <c r="G230" i="7"/>
  <c r="G229" i="7"/>
  <c r="G228" i="7"/>
  <c r="I226" i="7"/>
  <c r="I225" i="7"/>
  <c r="I224" i="7"/>
  <c r="H226" i="7"/>
  <c r="H225" i="7"/>
  <c r="H224" i="7"/>
  <c r="G225" i="7"/>
  <c r="G224" i="7"/>
  <c r="I216" i="7"/>
  <c r="I215" i="7"/>
  <c r="I214" i="7"/>
  <c r="H216" i="7"/>
  <c r="H215" i="7"/>
  <c r="H214" i="7"/>
  <c r="G216" i="7"/>
  <c r="G214" i="7"/>
  <c r="I97" i="7"/>
  <c r="H97" i="7"/>
  <c r="G97" i="7"/>
  <c r="I96" i="7"/>
  <c r="H96" i="7"/>
  <c r="G96" i="7"/>
  <c r="I330" i="7" l="1"/>
  <c r="H330" i="7"/>
  <c r="G330" i="7"/>
  <c r="G320" i="7"/>
  <c r="G319" i="7" s="1"/>
  <c r="I319" i="7"/>
  <c r="H319" i="7"/>
  <c r="G487" i="7" l="1"/>
  <c r="I501" i="7" l="1"/>
  <c r="H501" i="7"/>
  <c r="G501" i="7"/>
  <c r="H31" i="7"/>
  <c r="H30" i="7" s="1"/>
  <c r="I31" i="7"/>
  <c r="I30" i="7" s="1"/>
  <c r="G31" i="7"/>
  <c r="G30" i="7" s="1"/>
  <c r="I18" i="7"/>
  <c r="H18" i="7"/>
  <c r="G18" i="7"/>
  <c r="I35" i="7" l="1"/>
  <c r="H35" i="7"/>
  <c r="G35" i="7"/>
  <c r="I115" i="7" l="1"/>
  <c r="I114" i="7" s="1"/>
  <c r="I113" i="7" s="1"/>
  <c r="H115" i="7"/>
  <c r="H114" i="7" s="1"/>
  <c r="H113" i="7" s="1"/>
  <c r="I39" i="7"/>
  <c r="H39" i="7"/>
  <c r="G40" i="7"/>
  <c r="G39" i="7" s="1"/>
  <c r="I37" i="7"/>
  <c r="H37" i="7"/>
  <c r="G37" i="7"/>
  <c r="I34" i="7"/>
  <c r="I33" i="7" s="1"/>
  <c r="H34" i="7"/>
  <c r="H33" i="7" s="1"/>
  <c r="G34" i="7"/>
  <c r="G33" i="7" s="1"/>
  <c r="I534" i="7"/>
  <c r="H534" i="7"/>
  <c r="I532" i="7"/>
  <c r="H532" i="7"/>
  <c r="G532" i="7"/>
  <c r="G536" i="7" s="1"/>
  <c r="I528" i="7"/>
  <c r="H528" i="7"/>
  <c r="G528" i="7"/>
  <c r="I526" i="7"/>
  <c r="I523" i="7" s="1"/>
  <c r="H526" i="7"/>
  <c r="G526" i="7"/>
  <c r="I524" i="7"/>
  <c r="H524" i="7"/>
  <c r="G524" i="7"/>
  <c r="I521" i="7"/>
  <c r="I520" i="7" s="1"/>
  <c r="H521" i="7"/>
  <c r="H520" i="7" s="1"/>
  <c r="G521" i="7"/>
  <c r="G520" i="7" s="1"/>
  <c r="I517" i="7"/>
  <c r="H517" i="7"/>
  <c r="G517" i="7"/>
  <c r="I516" i="7"/>
  <c r="H516" i="7"/>
  <c r="G516" i="7"/>
  <c r="I512" i="7"/>
  <c r="H512" i="7"/>
  <c r="G512" i="7"/>
  <c r="I509" i="7"/>
  <c r="H509" i="7"/>
  <c r="G509" i="7"/>
  <c r="I507" i="7"/>
  <c r="H507" i="7"/>
  <c r="G507" i="7"/>
  <c r="I505" i="7"/>
  <c r="H505" i="7"/>
  <c r="G505" i="7"/>
  <c r="I503" i="7"/>
  <c r="H503" i="7"/>
  <c r="G503" i="7"/>
  <c r="I498" i="7"/>
  <c r="H498" i="7"/>
  <c r="G498" i="7"/>
  <c r="I496" i="7"/>
  <c r="H496" i="7"/>
  <c r="G496" i="7"/>
  <c r="G494" i="7"/>
  <c r="I494" i="7"/>
  <c r="H494" i="7"/>
  <c r="I490" i="7"/>
  <c r="H490" i="7"/>
  <c r="G490" i="7"/>
  <c r="I488" i="7"/>
  <c r="H488" i="7"/>
  <c r="G488" i="7"/>
  <c r="I486" i="7"/>
  <c r="H486" i="7"/>
  <c r="G486" i="7"/>
  <c r="I484" i="7"/>
  <c r="H484" i="7"/>
  <c r="G484" i="7"/>
  <c r="I481" i="7"/>
  <c r="I480" i="7" s="1"/>
  <c r="H481" i="7"/>
  <c r="H480" i="7" s="1"/>
  <c r="G481" i="7"/>
  <c r="G480" i="7" s="1"/>
  <c r="I477" i="7"/>
  <c r="H477" i="7"/>
  <c r="G477" i="7"/>
  <c r="I475" i="7"/>
  <c r="H475" i="7"/>
  <c r="G475" i="7"/>
  <c r="I474" i="7"/>
  <c r="I473" i="7" s="1"/>
  <c r="H474" i="7"/>
  <c r="H473" i="7" s="1"/>
  <c r="G473" i="7"/>
  <c r="I470" i="7"/>
  <c r="I469" i="7" s="1"/>
  <c r="H470" i="7"/>
  <c r="H469" i="7" s="1"/>
  <c r="G470" i="7"/>
  <c r="G469" i="7" s="1"/>
  <c r="I466" i="7"/>
  <c r="I465" i="7" s="1"/>
  <c r="I464" i="7" s="1"/>
  <c r="H466" i="7"/>
  <c r="H465" i="7" s="1"/>
  <c r="H464" i="7" s="1"/>
  <c r="G466" i="7"/>
  <c r="G465" i="7" s="1"/>
  <c r="G464" i="7" s="1"/>
  <c r="I460" i="7"/>
  <c r="H460" i="7"/>
  <c r="G460" i="7"/>
  <c r="I456" i="7"/>
  <c r="H456" i="7"/>
  <c r="G456" i="7"/>
  <c r="I454" i="7"/>
  <c r="H454" i="7"/>
  <c r="G454" i="7"/>
  <c r="I452" i="7"/>
  <c r="H452" i="7"/>
  <c r="G452" i="7"/>
  <c r="I451" i="7"/>
  <c r="H451" i="7"/>
  <c r="G451" i="7"/>
  <c r="I450" i="7"/>
  <c r="H450" i="7"/>
  <c r="G450" i="7"/>
  <c r="I445" i="7"/>
  <c r="H445" i="7"/>
  <c r="G445" i="7"/>
  <c r="I438" i="7"/>
  <c r="H438" i="7"/>
  <c r="G438" i="7"/>
  <c r="I436" i="7"/>
  <c r="H436" i="7"/>
  <c r="G436" i="7"/>
  <c r="I432" i="7"/>
  <c r="H432" i="7"/>
  <c r="G432" i="7"/>
  <c r="I431" i="7"/>
  <c r="H431" i="7"/>
  <c r="G431" i="7"/>
  <c r="I430" i="7"/>
  <c r="H430" i="7"/>
  <c r="G430" i="7"/>
  <c r="I426" i="7"/>
  <c r="H426" i="7"/>
  <c r="G426" i="7"/>
  <c r="I423" i="7"/>
  <c r="H423" i="7"/>
  <c r="G423" i="7"/>
  <c r="I420" i="7"/>
  <c r="H420" i="7"/>
  <c r="G420" i="7"/>
  <c r="I418" i="7"/>
  <c r="I417" i="7" s="1"/>
  <c r="H418" i="7"/>
  <c r="H417" i="7" s="1"/>
  <c r="G418" i="7"/>
  <c r="G417" i="7" s="1"/>
  <c r="I414" i="7"/>
  <c r="H414" i="7"/>
  <c r="G414" i="7"/>
  <c r="I412" i="7"/>
  <c r="H412" i="7"/>
  <c r="G412" i="7"/>
  <c r="G410" i="7"/>
  <c r="G409" i="7" s="1"/>
  <c r="I409" i="7"/>
  <c r="H409" i="7"/>
  <c r="I408" i="7"/>
  <c r="H408" i="7"/>
  <c r="G408" i="7"/>
  <c r="I407" i="7"/>
  <c r="H407" i="7"/>
  <c r="G407" i="7"/>
  <c r="I403" i="7"/>
  <c r="H403" i="7"/>
  <c r="G403" i="7"/>
  <c r="I402" i="7"/>
  <c r="H402" i="7"/>
  <c r="G402" i="7"/>
  <c r="I401" i="7"/>
  <c r="H401" i="7"/>
  <c r="G401" i="7"/>
  <c r="I399" i="7"/>
  <c r="H399" i="7"/>
  <c r="G399" i="7"/>
  <c r="I398" i="7"/>
  <c r="H398" i="7"/>
  <c r="G398" i="7"/>
  <c r="I396" i="7"/>
  <c r="H396" i="7"/>
  <c r="G396" i="7"/>
  <c r="I395" i="7"/>
  <c r="H395" i="7"/>
  <c r="G395" i="7"/>
  <c r="I393" i="7"/>
  <c r="H393" i="7"/>
  <c r="G393" i="7"/>
  <c r="I392" i="7"/>
  <c r="H392" i="7"/>
  <c r="G392" i="7"/>
  <c r="I390" i="7"/>
  <c r="H390" i="7"/>
  <c r="G390" i="7"/>
  <c r="I389" i="7"/>
  <c r="H389" i="7"/>
  <c r="G389" i="7"/>
  <c r="I385" i="7"/>
  <c r="H385" i="7"/>
  <c r="G385" i="7"/>
  <c r="I383" i="7"/>
  <c r="I382" i="7" s="1"/>
  <c r="H383" i="7"/>
  <c r="H382" i="7" s="1"/>
  <c r="G383" i="7"/>
  <c r="G382" i="7" s="1"/>
  <c r="I379" i="7"/>
  <c r="H379" i="7"/>
  <c r="G379" i="7"/>
  <c r="I376" i="7"/>
  <c r="H376" i="7"/>
  <c r="G376" i="7"/>
  <c r="I373" i="7"/>
  <c r="H373" i="7"/>
  <c r="G373" i="7"/>
  <c r="G371" i="7"/>
  <c r="G370" i="7" s="1"/>
  <c r="I370" i="7"/>
  <c r="H370" i="7"/>
  <c r="I363" i="7"/>
  <c r="H363" i="7"/>
  <c r="G363" i="7"/>
  <c r="I359" i="7"/>
  <c r="I358" i="7" s="1"/>
  <c r="H359" i="7"/>
  <c r="H358" i="7" s="1"/>
  <c r="G359" i="7"/>
  <c r="G358" i="7" s="1"/>
  <c r="I350" i="7"/>
  <c r="I349" i="7" s="1"/>
  <c r="I348" i="7" s="1"/>
  <c r="H350" i="7"/>
  <c r="H349" i="7" s="1"/>
  <c r="H348" i="7" s="1"/>
  <c r="G350" i="7"/>
  <c r="G349" i="7" s="1"/>
  <c r="G348" i="7" s="1"/>
  <c r="I345" i="7"/>
  <c r="H345" i="7"/>
  <c r="G345" i="7"/>
  <c r="I341" i="7"/>
  <c r="H341" i="7"/>
  <c r="G341" i="7"/>
  <c r="I337" i="7"/>
  <c r="H337" i="7"/>
  <c r="G337" i="7"/>
  <c r="I335" i="7"/>
  <c r="H335" i="7"/>
  <c r="G335" i="7"/>
  <c r="I332" i="7"/>
  <c r="H332" i="7"/>
  <c r="G332" i="7"/>
  <c r="I328" i="7"/>
  <c r="H328" i="7"/>
  <c r="G328" i="7"/>
  <c r="I324" i="7"/>
  <c r="H324" i="7"/>
  <c r="G324" i="7"/>
  <c r="I321" i="7"/>
  <c r="H321" i="7"/>
  <c r="G321" i="7"/>
  <c r="I314" i="7"/>
  <c r="H314" i="7"/>
  <c r="G314" i="7"/>
  <c r="I313" i="7"/>
  <c r="I310" i="7" s="1"/>
  <c r="H313" i="7"/>
  <c r="H310" i="7" s="1"/>
  <c r="G313" i="7"/>
  <c r="G310" i="7" s="1"/>
  <c r="I308" i="7"/>
  <c r="H308" i="7"/>
  <c r="G308" i="7"/>
  <c r="I305" i="7"/>
  <c r="H305" i="7"/>
  <c r="G305" i="7"/>
  <c r="I303" i="7"/>
  <c r="H303" i="7"/>
  <c r="G303" i="7"/>
  <c r="I302" i="7"/>
  <c r="I300" i="7" s="1"/>
  <c r="H302" i="7"/>
  <c r="H300" i="7" s="1"/>
  <c r="G302" i="7"/>
  <c r="G300" i="7" s="1"/>
  <c r="I298" i="7"/>
  <c r="H298" i="7"/>
  <c r="G298" i="7"/>
  <c r="I296" i="7"/>
  <c r="H296" i="7"/>
  <c r="G296" i="7"/>
  <c r="I294" i="7"/>
  <c r="H294" i="7"/>
  <c r="G294" i="7"/>
  <c r="I293" i="7"/>
  <c r="H293" i="7"/>
  <c r="G293" i="7"/>
  <c r="I292" i="7"/>
  <c r="H292" i="7"/>
  <c r="G292" i="7"/>
  <c r="I284" i="7"/>
  <c r="H284" i="7"/>
  <c r="G284" i="7"/>
  <c r="I282" i="7"/>
  <c r="H282" i="7"/>
  <c r="G282" i="7"/>
  <c r="I279" i="7"/>
  <c r="H279" i="7"/>
  <c r="G279" i="7"/>
  <c r="I278" i="7"/>
  <c r="I276" i="7" s="1"/>
  <c r="H278" i="7"/>
  <c r="H276" i="7" s="1"/>
  <c r="G278" i="7"/>
  <c r="I274" i="7"/>
  <c r="H274" i="7"/>
  <c r="G274" i="7"/>
  <c r="I271" i="7"/>
  <c r="H271" i="7"/>
  <c r="G271" i="7"/>
  <c r="I267" i="7"/>
  <c r="H267" i="7"/>
  <c r="G267" i="7"/>
  <c r="I264" i="7"/>
  <c r="H264" i="7"/>
  <c r="G264" i="7"/>
  <c r="I262" i="7"/>
  <c r="H262" i="7"/>
  <c r="G262" i="7"/>
  <c r="I257" i="7"/>
  <c r="H257" i="7"/>
  <c r="G257" i="7"/>
  <c r="I254" i="7"/>
  <c r="I251" i="7" s="1"/>
  <c r="H254" i="7"/>
  <c r="H251" i="7" s="1"/>
  <c r="G254" i="7"/>
  <c r="G251" i="7" s="1"/>
  <c r="I248" i="7"/>
  <c r="H248" i="7"/>
  <c r="G248" i="7"/>
  <c r="I241" i="7"/>
  <c r="H241" i="7"/>
  <c r="G241" i="7"/>
  <c r="I240" i="7"/>
  <c r="H240" i="7"/>
  <c r="G240" i="7"/>
  <c r="I237" i="7"/>
  <c r="I235" i="7" s="1"/>
  <c r="H237" i="7"/>
  <c r="H235" i="7" s="1"/>
  <c r="G237" i="7"/>
  <c r="G235" i="7" s="1"/>
  <c r="I233" i="7"/>
  <c r="H233" i="7"/>
  <c r="G233" i="7"/>
  <c r="I231" i="7"/>
  <c r="H231" i="7"/>
  <c r="G231" i="7"/>
  <c r="I227" i="7"/>
  <c r="G226" i="7"/>
  <c r="G223" i="7" s="1"/>
  <c r="I217" i="7"/>
  <c r="H217" i="7"/>
  <c r="G219" i="7"/>
  <c r="G215" i="7"/>
  <c r="I211" i="7"/>
  <c r="H211" i="7"/>
  <c r="G211" i="7"/>
  <c r="I206" i="7"/>
  <c r="I205" i="7" s="1"/>
  <c r="H206" i="7"/>
  <c r="H205" i="7" s="1"/>
  <c r="G206" i="7"/>
  <c r="G205" i="7" s="1"/>
  <c r="I203" i="7"/>
  <c r="H203" i="7"/>
  <c r="G203" i="7"/>
  <c r="I201" i="7"/>
  <c r="H201" i="7"/>
  <c r="G201" i="7"/>
  <c r="I199" i="7"/>
  <c r="H199" i="7"/>
  <c r="G199" i="7"/>
  <c r="I192" i="7"/>
  <c r="H192" i="7"/>
  <c r="G192" i="7"/>
  <c r="I191" i="7"/>
  <c r="H191" i="7"/>
  <c r="G191" i="7"/>
  <c r="I190" i="7"/>
  <c r="H190" i="7"/>
  <c r="G190" i="7"/>
  <c r="I183" i="7"/>
  <c r="I182" i="7" s="1"/>
  <c r="H183" i="7"/>
  <c r="H182" i="7" s="1"/>
  <c r="G183" i="7"/>
  <c r="G182" i="7" s="1"/>
  <c r="I180" i="7"/>
  <c r="H180" i="7"/>
  <c r="G180" i="7"/>
  <c r="I178" i="7"/>
  <c r="H178" i="7"/>
  <c r="G178" i="7"/>
  <c r="I174" i="7"/>
  <c r="I173" i="7" s="1"/>
  <c r="I172" i="7" s="1"/>
  <c r="H174" i="7"/>
  <c r="H173" i="7" s="1"/>
  <c r="H172" i="7" s="1"/>
  <c r="G174" i="7"/>
  <c r="G173" i="7" s="1"/>
  <c r="G172" i="7" s="1"/>
  <c r="I170" i="7"/>
  <c r="H170" i="7"/>
  <c r="G170" i="7"/>
  <c r="I168" i="7"/>
  <c r="H168" i="7"/>
  <c r="G168" i="7"/>
  <c r="I163" i="7"/>
  <c r="H163" i="7"/>
  <c r="G163" i="7"/>
  <c r="I160" i="7"/>
  <c r="H160" i="7"/>
  <c r="G160" i="7"/>
  <c r="I158" i="7"/>
  <c r="H158" i="7"/>
  <c r="G158" i="7"/>
  <c r="I155" i="7"/>
  <c r="H155" i="7"/>
  <c r="G155" i="7"/>
  <c r="I153" i="7"/>
  <c r="H153" i="7"/>
  <c r="G153" i="7"/>
  <c r="I151" i="7"/>
  <c r="H151" i="7"/>
  <c r="G151" i="7"/>
  <c r="I149" i="7"/>
  <c r="H149" i="7"/>
  <c r="G149" i="7"/>
  <c r="I143" i="7"/>
  <c r="I142" i="7" s="1"/>
  <c r="H143" i="7"/>
  <c r="H142" i="7" s="1"/>
  <c r="G143" i="7"/>
  <c r="G142" i="7" s="1"/>
  <c r="I140" i="7"/>
  <c r="I139" i="7" s="1"/>
  <c r="H140" i="7"/>
  <c r="H139" i="7" s="1"/>
  <c r="G140" i="7"/>
  <c r="G139" i="7" s="1"/>
  <c r="I137" i="7"/>
  <c r="H137" i="7"/>
  <c r="G137" i="7"/>
  <c r="I135" i="7"/>
  <c r="H135" i="7"/>
  <c r="G135" i="7"/>
  <c r="I133" i="7"/>
  <c r="H133" i="7"/>
  <c r="G133" i="7"/>
  <c r="I131" i="7"/>
  <c r="H131" i="7"/>
  <c r="G131" i="7"/>
  <c r="I129" i="7"/>
  <c r="H129" i="7"/>
  <c r="G129" i="7"/>
  <c r="I125" i="7"/>
  <c r="I124" i="7" s="1"/>
  <c r="H125" i="7"/>
  <c r="H124" i="7" s="1"/>
  <c r="G125" i="7"/>
  <c r="G124" i="7" s="1"/>
  <c r="I122" i="7"/>
  <c r="H122" i="7"/>
  <c r="G122" i="7"/>
  <c r="I120" i="7"/>
  <c r="H120" i="7"/>
  <c r="G120" i="7"/>
  <c r="I111" i="7"/>
  <c r="I110" i="7" s="1"/>
  <c r="I109" i="7" s="1"/>
  <c r="H111" i="7"/>
  <c r="H110" i="7" s="1"/>
  <c r="H109" i="7" s="1"/>
  <c r="G111" i="7"/>
  <c r="G110" i="7" s="1"/>
  <c r="G109" i="7" s="1"/>
  <c r="I106" i="7"/>
  <c r="I105" i="7" s="1"/>
  <c r="H106" i="7"/>
  <c r="H105" i="7" s="1"/>
  <c r="G106" i="7"/>
  <c r="G105" i="7" s="1"/>
  <c r="I103" i="7"/>
  <c r="H103" i="7"/>
  <c r="G103" i="7"/>
  <c r="I101" i="7"/>
  <c r="H101" i="7"/>
  <c r="G101" i="7"/>
  <c r="I99" i="7"/>
  <c r="H99" i="7"/>
  <c r="G99" i="7"/>
  <c r="I95" i="7"/>
  <c r="H95" i="7"/>
  <c r="G95" i="7"/>
  <c r="I93" i="7"/>
  <c r="H93" i="7"/>
  <c r="G93" i="7"/>
  <c r="I89" i="7"/>
  <c r="I88" i="7" s="1"/>
  <c r="I87" i="7" s="1"/>
  <c r="I86" i="7" s="1"/>
  <c r="H89" i="7"/>
  <c r="H88" i="7" s="1"/>
  <c r="H87" i="7" s="1"/>
  <c r="H86" i="7" s="1"/>
  <c r="G89" i="7"/>
  <c r="G88" i="7" s="1"/>
  <c r="G87" i="7" s="1"/>
  <c r="G86" i="7" s="1"/>
  <c r="G85" i="7"/>
  <c r="G84" i="7"/>
  <c r="I83" i="7"/>
  <c r="H83" i="7"/>
  <c r="I81" i="7"/>
  <c r="I80" i="7" s="1"/>
  <c r="H81" i="7"/>
  <c r="H80" i="7" s="1"/>
  <c r="G81" i="7"/>
  <c r="G80" i="7" s="1"/>
  <c r="I74" i="7"/>
  <c r="H74" i="7"/>
  <c r="G74" i="7"/>
  <c r="I72" i="7"/>
  <c r="H72" i="7"/>
  <c r="G72" i="7"/>
  <c r="I68" i="7"/>
  <c r="H68" i="7"/>
  <c r="G68" i="7"/>
  <c r="I66" i="7"/>
  <c r="H66" i="7"/>
  <c r="G66" i="7"/>
  <c r="I64" i="7"/>
  <c r="H64" i="7"/>
  <c r="G64" i="7"/>
  <c r="I62" i="7"/>
  <c r="I60" i="7" s="1"/>
  <c r="H62" i="7"/>
  <c r="H60" i="7" s="1"/>
  <c r="G62" i="7"/>
  <c r="G60" i="7" s="1"/>
  <c r="I56" i="7"/>
  <c r="H56" i="7"/>
  <c r="G56" i="7"/>
  <c r="I55" i="7"/>
  <c r="H55" i="7"/>
  <c r="H53" i="7" s="1"/>
  <c r="G55" i="7"/>
  <c r="I51" i="7"/>
  <c r="H51" i="7"/>
  <c r="G51" i="7"/>
  <c r="I49" i="7"/>
  <c r="H49" i="7"/>
  <c r="G49" i="7"/>
  <c r="I47" i="7"/>
  <c r="H47" i="7"/>
  <c r="G47" i="7"/>
  <c r="I45" i="7"/>
  <c r="H45" i="7"/>
  <c r="G45" i="7"/>
  <c r="I44" i="7"/>
  <c r="I43" i="7" s="1"/>
  <c r="H44" i="7"/>
  <c r="H43" i="7" s="1"/>
  <c r="G44" i="7"/>
  <c r="G43" i="7" s="1"/>
  <c r="I41" i="7"/>
  <c r="H41" i="7"/>
  <c r="G41" i="7"/>
  <c r="I29" i="7"/>
  <c r="H29" i="7"/>
  <c r="G29" i="7"/>
  <c r="I26" i="7"/>
  <c r="H26" i="7"/>
  <c r="G26" i="7"/>
  <c r="I25" i="7"/>
  <c r="H25" i="7"/>
  <c r="G25" i="7"/>
  <c r="G21" i="7"/>
  <c r="G20" i="7" s="1"/>
  <c r="I20" i="7"/>
  <c r="H20" i="7"/>
  <c r="I19" i="7"/>
  <c r="I17" i="7" s="1"/>
  <c r="H19" i="7"/>
  <c r="H17" i="7" s="1"/>
  <c r="G19" i="7"/>
  <c r="G17" i="7" s="1"/>
  <c r="I14" i="7"/>
  <c r="I13" i="7" s="1"/>
  <c r="H14" i="7"/>
  <c r="H13" i="7" s="1"/>
  <c r="G14" i="7"/>
  <c r="G13" i="7" s="1"/>
  <c r="G397" i="7" l="1"/>
  <c r="I92" i="7"/>
  <c r="I400" i="7"/>
  <c r="I394" i="7"/>
  <c r="G406" i="7"/>
  <c r="H77" i="7"/>
  <c r="I429" i="7"/>
  <c r="H435" i="7"/>
  <c r="I77" i="7"/>
  <c r="G483" i="7"/>
  <c r="G500" i="7"/>
  <c r="I483" i="7"/>
  <c r="H483" i="7"/>
  <c r="H239" i="7"/>
  <c r="G59" i="7"/>
  <c r="G58" i="7" s="1"/>
  <c r="H318" i="7"/>
  <c r="H317" i="7" s="1"/>
  <c r="H327" i="7"/>
  <c r="H340" i="7"/>
  <c r="H197" i="7"/>
  <c r="H196" i="7" s="1"/>
  <c r="H195" i="7" s="1"/>
  <c r="H194" i="7" s="1"/>
  <c r="I340" i="7"/>
  <c r="I391" i="7"/>
  <c r="G83" i="7"/>
  <c r="G77" i="7" s="1"/>
  <c r="G76" i="7" s="1"/>
  <c r="I256" i="7"/>
  <c r="I53" i="7"/>
  <c r="I36" i="7" s="1"/>
  <c r="I472" i="7"/>
  <c r="I468" i="7" s="1"/>
  <c r="G472" i="7"/>
  <c r="H92" i="7"/>
  <c r="H91" i="7" s="1"/>
  <c r="G318" i="7"/>
  <c r="G317" i="7" s="1"/>
  <c r="H394" i="7"/>
  <c r="H397" i="7"/>
  <c r="I500" i="7"/>
  <c r="H256" i="7"/>
  <c r="G327" i="7"/>
  <c r="G435" i="7"/>
  <c r="I318" i="7"/>
  <c r="I317" i="7" s="1"/>
  <c r="H23" i="7"/>
  <c r="G27" i="7"/>
  <c r="G53" i="7"/>
  <c r="G36" i="7" s="1"/>
  <c r="G92" i="7"/>
  <c r="G91" i="7" s="1"/>
  <c r="I327" i="7"/>
  <c r="I326" i="7" s="1"/>
  <c r="I435" i="7"/>
  <c r="G449" i="7"/>
  <c r="G448" i="7" s="1"/>
  <c r="H500" i="7"/>
  <c r="I514" i="7"/>
  <c r="I511" i="7" s="1"/>
  <c r="I479" i="7" s="1"/>
  <c r="H177" i="7"/>
  <c r="G177" i="7"/>
  <c r="G176" i="7" s="1"/>
  <c r="I91" i="7"/>
  <c r="G71" i="7"/>
  <c r="G70" i="7" s="1"/>
  <c r="I76" i="7"/>
  <c r="H119" i="7"/>
  <c r="H118" i="7" s="1"/>
  <c r="G291" i="7"/>
  <c r="H71" i="7"/>
  <c r="H70" i="7" s="1"/>
  <c r="I119" i="7"/>
  <c r="I118" i="7" s="1"/>
  <c r="I71" i="7"/>
  <c r="I70" i="7" s="1"/>
  <c r="I167" i="7"/>
  <c r="I166" i="7" s="1"/>
  <c r="I177" i="7"/>
  <c r="I176" i="7" s="1"/>
  <c r="G188" i="7"/>
  <c r="G187" i="7" s="1"/>
  <c r="G186" i="7" s="1"/>
  <c r="G185" i="7" s="1"/>
  <c r="G276" i="7"/>
  <c r="G256" i="7" s="1"/>
  <c r="H291" i="7"/>
  <c r="H290" i="7" s="1"/>
  <c r="H76" i="7"/>
  <c r="G148" i="7"/>
  <c r="G147" i="7" s="1"/>
  <c r="I536" i="7"/>
  <c r="H36" i="7"/>
  <c r="I59" i="7"/>
  <c r="I58" i="7" s="1"/>
  <c r="I223" i="7"/>
  <c r="I307" i="7"/>
  <c r="G340" i="7"/>
  <c r="G326" i="7" s="1"/>
  <c r="I397" i="7"/>
  <c r="I519" i="7"/>
  <c r="H188" i="7"/>
  <c r="H187" i="7" s="1"/>
  <c r="H186" i="7" s="1"/>
  <c r="H185" i="7" s="1"/>
  <c r="I188" i="7"/>
  <c r="I187" i="7" s="1"/>
  <c r="I186" i="7" s="1"/>
  <c r="I185" i="7" s="1"/>
  <c r="G239" i="7"/>
  <c r="G391" i="7"/>
  <c r="G119" i="7"/>
  <c r="G118" i="7" s="1"/>
  <c r="I239" i="7"/>
  <c r="I291" i="7"/>
  <c r="H406" i="7"/>
  <c r="G429" i="7"/>
  <c r="G523" i="7"/>
  <c r="G519" i="7" s="1"/>
  <c r="G23" i="7"/>
  <c r="G16" i="7" s="1"/>
  <c r="G167" i="7"/>
  <c r="G166" i="7" s="1"/>
  <c r="H167" i="7"/>
  <c r="H166" i="7" s="1"/>
  <c r="I197" i="7"/>
  <c r="I196" i="7" s="1"/>
  <c r="I195" i="7" s="1"/>
  <c r="I194" i="7" s="1"/>
  <c r="H307" i="7"/>
  <c r="G388" i="7"/>
  <c r="H388" i="7"/>
  <c r="H429" i="7"/>
  <c r="G468" i="7"/>
  <c r="H176" i="7"/>
  <c r="H27" i="7"/>
  <c r="I27" i="7"/>
  <c r="H59" i="7"/>
  <c r="H58" i="7" s="1"/>
  <c r="I148" i="7"/>
  <c r="I147" i="7" s="1"/>
  <c r="G197" i="7"/>
  <c r="G196" i="7" s="1"/>
  <c r="G195" i="7" s="1"/>
  <c r="G194" i="7" s="1"/>
  <c r="H223" i="7"/>
  <c r="H227" i="7"/>
  <c r="G307" i="7"/>
  <c r="H362" i="7"/>
  <c r="G362" i="7"/>
  <c r="I388" i="7"/>
  <c r="G394" i="7"/>
  <c r="I406" i="7"/>
  <c r="H536" i="7"/>
  <c r="I128" i="7"/>
  <c r="I127" i="7" s="1"/>
  <c r="G213" i="7"/>
  <c r="I213" i="7"/>
  <c r="I210" i="7" s="1"/>
  <c r="G227" i="7"/>
  <c r="G222" i="7" s="1"/>
  <c r="I362" i="7"/>
  <c r="H128" i="7"/>
  <c r="H127" i="7" s="1"/>
  <c r="H213" i="7"/>
  <c r="H210" i="7" s="1"/>
  <c r="H391" i="7"/>
  <c r="G400" i="7"/>
  <c r="H400" i="7"/>
  <c r="H449" i="7"/>
  <c r="H448" i="7" s="1"/>
  <c r="I449" i="7"/>
  <c r="I448" i="7" s="1"/>
  <c r="H472" i="7"/>
  <c r="H468" i="7" s="1"/>
  <c r="G514" i="7"/>
  <c r="G511" i="7" s="1"/>
  <c r="H514" i="7"/>
  <c r="H511" i="7" s="1"/>
  <c r="I23" i="7"/>
  <c r="G128" i="7"/>
  <c r="G127" i="7" s="1"/>
  <c r="H148" i="7"/>
  <c r="H147" i="7" s="1"/>
  <c r="I290" i="7"/>
  <c r="I289" i="7" s="1"/>
  <c r="G290" i="7"/>
  <c r="H523" i="7"/>
  <c r="H519" i="7" s="1"/>
  <c r="G217" i="7"/>
  <c r="H289" i="7" l="1"/>
  <c r="H326" i="7"/>
  <c r="H117" i="7"/>
  <c r="G117" i="7"/>
  <c r="G316" i="7"/>
  <c r="H16" i="7"/>
  <c r="I16" i="7"/>
  <c r="I12" i="7" s="1"/>
  <c r="I11" i="7" s="1"/>
  <c r="I316" i="7"/>
  <c r="H222" i="7"/>
  <c r="H12" i="7"/>
  <c r="H11" i="7" s="1"/>
  <c r="I222" i="7"/>
  <c r="I209" i="7" s="1"/>
  <c r="I208" i="7" s="1"/>
  <c r="G12" i="7"/>
  <c r="G11" i="7" s="1"/>
  <c r="G146" i="7"/>
  <c r="I463" i="7"/>
  <c r="G210" i="7"/>
  <c r="G209" i="7" s="1"/>
  <c r="I375" i="7"/>
  <c r="I357" i="7" s="1"/>
  <c r="I352" i="7" s="1"/>
  <c r="H209" i="7"/>
  <c r="H208" i="7" s="1"/>
  <c r="H316" i="7"/>
  <c r="I117" i="7"/>
  <c r="G479" i="7"/>
  <c r="G463" i="7" s="1"/>
  <c r="H375" i="7"/>
  <c r="H357" i="7" s="1"/>
  <c r="H352" i="7" s="1"/>
  <c r="I146" i="7"/>
  <c r="H146" i="7"/>
  <c r="G375" i="7"/>
  <c r="G357" i="7" s="1"/>
  <c r="G352" i="7" s="1"/>
  <c r="H479" i="7"/>
  <c r="H463" i="7" s="1"/>
  <c r="G289" i="7"/>
  <c r="I530" i="7" l="1"/>
  <c r="H530" i="7"/>
  <c r="G208" i="7"/>
  <c r="G530" i="7" s="1"/>
  <c r="G537" i="7" s="1"/>
  <c r="I537" i="7" l="1"/>
  <c r="H537" i="7"/>
</calcChain>
</file>

<file path=xl/sharedStrings.xml><?xml version="1.0" encoding="utf-8"?>
<sst xmlns="http://schemas.openxmlformats.org/spreadsheetml/2006/main" count="4662" uniqueCount="422">
  <si>
    <t>Физическая культура  и спорт</t>
  </si>
  <si>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</si>
  <si>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</si>
  <si>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</si>
  <si>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</si>
  <si>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</si>
  <si>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 xml:space="preserve"> 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</si>
  <si>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</si>
  <si>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</si>
  <si>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</si>
  <si>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</si>
  <si>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</si>
  <si>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</si>
  <si>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</si>
  <si>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</si>
  <si>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</si>
  <si>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</si>
  <si>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</si>
  <si>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</si>
  <si>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</si>
  <si>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</si>
  <si>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</si>
  <si>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</si>
  <si>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</si>
  <si>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</si>
  <si>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</si>
  <si>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</si>
  <si>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</si>
  <si>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</si>
  <si>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</si>
  <si>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</si>
  <si>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</si>
  <si>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</si>
  <si>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</si>
  <si>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</si>
  <si>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</si>
  <si>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</si>
  <si>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</si>
  <si>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</si>
  <si>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</si>
  <si>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</si>
  <si>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</si>
  <si>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</si>
  <si>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</si>
  <si>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</si>
  <si>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</si>
  <si>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</si>
  <si>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</si>
  <si>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</si>
  <si>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</si>
  <si>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</si>
  <si>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</si>
  <si>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</si>
  <si>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</si>
  <si>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</si>
  <si>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</si>
  <si>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</si>
  <si>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</si>
  <si>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</si>
  <si>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</si>
  <si>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</si>
  <si>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</si>
  <si>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</si>
  <si>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</si>
  <si>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</si>
  <si>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</si>
  <si>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</si>
  <si>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</si>
  <si>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</si>
  <si>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</si>
  <si>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</si>
  <si>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</si>
  <si>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</si>
  <si>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</si>
  <si>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</si>
  <si>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</si>
  <si>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</si>
  <si>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</si>
  <si>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</si>
  <si>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</si>
  <si>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Е.Н. Зачиняева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</si>
  <si>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</si>
  <si>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</si>
  <si>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</si>
  <si>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 xml:space="preserve">Ведомственная структура расходов бюджета муниципального образования "Анжеро-Судженский городской округ" 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</si>
  <si>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</si>
  <si>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</si>
  <si>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</si>
  <si>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</si>
  <si>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</si>
  <si>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</si>
  <si>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</si>
  <si>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</si>
  <si>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</si>
  <si>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</si>
  <si>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</si>
  <si>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</si>
  <si>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</si>
  <si>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08 5 00 70160</t>
  </si>
  <si>
    <t xml:space="preserve">08 5 00 70160 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</si>
  <si>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</si>
  <si>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</si>
  <si>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</si>
  <si>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</si>
  <si>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</si>
  <si>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</si>
  <si>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</si>
  <si>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08 6 00 70090</t>
  </si>
  <si>
    <t>08 6 00 80050</t>
  </si>
  <si>
    <t>08 6 00 70050</t>
  </si>
  <si>
    <t>08 6 00 80010</t>
  </si>
  <si>
    <t>08 6 00 80070</t>
  </si>
  <si>
    <t>08 6 00 70070</t>
  </si>
  <si>
    <t>08 6 00 70100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</si>
  <si>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</si>
  <si>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</si>
  <si>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</si>
  <si>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</si>
  <si>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</si>
  <si>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</si>
  <si>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</si>
  <si>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</si>
  <si>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</si>
  <si>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</si>
  <si>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</si>
  <si>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</si>
  <si>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05 2 00 72040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</si>
  <si>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</si>
  <si>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</si>
  <si>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</si>
  <si>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</si>
  <si>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</si>
  <si>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</si>
  <si>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</si>
  <si>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</si>
  <si>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08 6 00 R0840</t>
  </si>
  <si>
    <t>04 2 00 L0200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</si>
  <si>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</si>
  <si>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</si>
  <si>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</si>
  <si>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</si>
  <si>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</si>
  <si>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2018 год</t>
  </si>
  <si>
    <t>2019 год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</si>
  <si>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</si>
  <si>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</si>
  <si>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</si>
  <si>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</si>
  <si>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</si>
  <si>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</si>
  <si>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</si>
  <si>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</si>
  <si>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</si>
  <si>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</si>
  <si>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</si>
  <si>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</si>
  <si>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</si>
  <si>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</si>
  <si>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</si>
  <si>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</si>
  <si>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</si>
  <si>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03 1 00 11002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</si>
  <si>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</si>
  <si>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Развитие ЕДДС Анжеро-Судженского городского округа</t>
  </si>
  <si>
    <t>03 1 00 14002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</si>
  <si>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</si>
  <si>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</si>
  <si>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</si>
  <si>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</si>
  <si>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Материальное стимулирование деятельности добровольных пожарных</t>
  </si>
  <si>
    <t>03 2 00 13701</t>
  </si>
  <si>
    <t>14 0 00 12801</t>
  </si>
  <si>
    <t>Содействие формированию положительного имиджа предпринимательской деятельности</t>
  </si>
  <si>
    <t>Кредитно-финансовая и имущественная поддержка субъектов малого и среднего предпринимательства</t>
  </si>
  <si>
    <t>Реализация программ местного развития и обеспечение занятости для шахтерских городов и поселков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</si>
  <si>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</si>
  <si>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</si>
  <si>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</si>
  <si>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</si>
  <si>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</si>
  <si>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</si>
  <si>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</si>
  <si>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</si>
  <si>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</si>
  <si>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</si>
  <si>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</si>
  <si>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мер социальной поддержки реабилитированных лиц и лиц, признанных пострадавшими от политических репрессий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</si>
  <si>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</si>
  <si>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</si>
  <si>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</si>
  <si>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</si>
  <si>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</si>
  <si>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</si>
  <si>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</si>
  <si>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05 1 00 15231</t>
  </si>
  <si>
    <t>05 1 00 13011</t>
  </si>
  <si>
    <t>05 1 00 15521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</si>
  <si>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</si>
  <si>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</si>
  <si>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</si>
  <si>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</si>
  <si>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</si>
  <si>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</si>
  <si>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</si>
  <si>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</si>
  <si>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</si>
  <si>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</si>
  <si>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</si>
  <si>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</si>
  <si>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</si>
  <si>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</si>
  <si>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</si>
  <si>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</si>
  <si>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</si>
  <si>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</si>
  <si>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</si>
  <si>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</si>
  <si>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</si>
  <si>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</si>
  <si>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</si>
  <si>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</si>
  <si>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</si>
  <si>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</si>
  <si>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</si>
  <si>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</si>
  <si>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</si>
  <si>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</si>
  <si>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</si>
  <si>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</si>
  <si>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</si>
  <si>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</si>
  <si>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</si>
  <si>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</si>
  <si>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</si>
  <si>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</si>
  <si>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</si>
  <si>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</si>
  <si>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</si>
  <si>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</si>
  <si>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</si>
  <si>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</si>
  <si>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</si>
  <si>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</si>
  <si>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</si>
  <si>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</si>
  <si>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</si>
  <si>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05 1 00 12021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</si>
  <si>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</si>
  <si>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</si>
  <si>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</si>
  <si>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</si>
  <si>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Организация и осуществление деятельности по опеке и попечительству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</si>
  <si>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</si>
  <si>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</si>
  <si>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</si>
  <si>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</si>
  <si>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</si>
  <si>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</si>
  <si>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</si>
  <si>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</si>
  <si>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</si>
  <si>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</si>
  <si>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</si>
  <si>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</si>
  <si>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</si>
  <si>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</si>
  <si>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</si>
  <si>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</si>
  <si>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</si>
  <si>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</si>
  <si>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06 0 00 14521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</si>
  <si>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</si>
  <si>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</si>
  <si>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</si>
  <si>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</si>
  <si>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</si>
  <si>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</si>
  <si>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</si>
  <si>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Осуществление полномочия по осуществлению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</si>
  <si>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</si>
  <si>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</si>
  <si>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Предоставление гражданам субсидий на оплату жилого помещения и коммунальных услуг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</si>
  <si>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</si>
  <si>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</si>
  <si>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</si>
  <si>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</si>
  <si>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"О погребении и похоронном деле в Кемеровской области"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</si>
  <si>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</si>
  <si>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</si>
  <si>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</si>
  <si>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</si>
  <si>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</si>
  <si>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</si>
  <si>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</si>
  <si>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</si>
  <si>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</si>
  <si>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</si>
  <si>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</si>
  <si>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10 3 00 14101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</si>
  <si>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</si>
  <si>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</si>
  <si>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</si>
  <si>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</si>
  <si>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11 7 00 11112</t>
  </si>
  <si>
    <t>Повышение безопасности дорожного движения, КРИСы, Безопасный город</t>
  </si>
  <si>
    <t>04 5 00 12202</t>
  </si>
  <si>
    <t>10 1 00 11301</t>
  </si>
  <si>
    <t>Капитальный ремонт муниципальных сетей и котельного оборудования</t>
  </si>
  <si>
    <t>10 1 00 13301</t>
  </si>
  <si>
    <t>Актуализация схемы теплоснабжения</t>
  </si>
  <si>
    <t>10 1 00 15301</t>
  </si>
  <si>
    <t>Проверка сметной документации, технадзор</t>
  </si>
  <si>
    <t>10 3 00 11203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</si>
  <si>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</t>
  </si>
  <si>
    <t>10 3 00 11302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</si>
  <si>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</si>
  <si>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</si>
  <si>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</si>
  <si>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</si>
  <si>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</si>
  <si>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</si>
  <si>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</si>
  <si>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</si>
  <si>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</si>
  <si>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</si>
  <si>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</si>
  <si>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</si>
  <si>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</si>
  <si>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</si>
  <si>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</si>
  <si>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</si>
  <si>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</si>
  <si>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</si>
  <si>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</si>
  <si>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</si>
  <si>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</si>
  <si>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</si>
  <si>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</si>
  <si>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10 1 00 12301</t>
  </si>
  <si>
    <t>Теплоснабжение восточного жилого района г.Анжеро-Судженска (строительство теплотрассы)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</si>
  <si>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</si>
  <si>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</si>
  <si>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</si>
  <si>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</si>
  <si>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</si>
  <si>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</si>
  <si>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Пособие на ребенка в соответствии с Законом Кемеровской области от 18 ноября 2004 года № 75-ОЗ "О размере, порядке назначения и выплаты пособия на ребенка"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</si>
  <si>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жилья и (или) коммунальных услуг"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</si>
  <si>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</si>
  <si>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Мероприятия подпрограммы "Обеспечение жильем молодых семей" федеральной целевой программы "Жилище" на 2015 - 2020 годы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</si>
  <si>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</si>
  <si>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</si>
  <si>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</si>
  <si>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Капитальный ремонт муниципального жилищного фонда, в т.ч. отдельных муниципальных квартир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</si>
  <si>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</si>
  <si>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</si>
  <si>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</si>
  <si>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Развитие физической культуры и детско-юношеского спорта в Анжеро-Судженском городском округе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</si>
  <si>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</si>
  <si>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</si>
  <si>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</si>
  <si>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</si>
  <si>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</si>
  <si>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</si>
  <si>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от ________________2017г. № ________</t>
  </si>
  <si>
    <t>10 1 00 72540</t>
  </si>
  <si>
    <t>04 1 00 71850</t>
  </si>
  <si>
    <t>14 0 00 L5270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</si>
  <si>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</si>
  <si>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</si>
  <si>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</si>
  <si>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</si>
  <si>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</si>
  <si>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</si>
  <si>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</si>
  <si>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 xml:space="preserve">Социальная поддержка граждан при всех формах устройства детей, лишенных родительского попечения, в семью в соответствии с законами Кемеровской области от 14 декабря 2010 года № 124-ОЗ «О некоторых вопросах в сфере опеки и попечительства несовершеннолетних» 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 </t>
  </si>
  <si>
    <t>платные</t>
  </si>
  <si>
    <t>межб</t>
  </si>
  <si>
    <t>собст</t>
  </si>
  <si>
    <t>2020 год</t>
  </si>
  <si>
    <t>на 2018 год и на плановый период 2019 и 2020 годов</t>
  </si>
  <si>
    <t>Возмещение затрат, возникших в результате применения регулируемых цен при реализации угля на коммунально-бытовые нужды населению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</si>
  <si>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</si>
  <si>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</si>
  <si>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</si>
  <si>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</si>
  <si>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</si>
  <si>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01 5 99 51200</t>
  </si>
  <si>
    <t>10 5 00 71140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</si>
  <si>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</si>
  <si>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</si>
  <si>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</si>
  <si>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</si>
  <si>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</si>
  <si>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08 6 00 70840</t>
  </si>
  <si>
    <t>Проведение обследования ветхого и аварийного муниципального жилого фонда, снос ветхого жилья</t>
  </si>
  <si>
    <t>04 3 00 14151</t>
  </si>
  <si>
    <t>00</t>
  </si>
  <si>
    <t>Строительство и реконструкция котельных и сетей теплоснабжения с пименением  энергоэффективных технологий, материалов и оборудования</t>
  </si>
  <si>
    <t>Выполнение полномочий Российской Федерации по осуществлению ежемесячной выплаты в связи с рождением (усыновлением) первого ребенка</t>
  </si>
  <si>
    <t>08 6 00 55730</t>
  </si>
  <si>
    <t>04 3 00 11181</t>
  </si>
  <si>
    <t>06 0 00 70480</t>
  </si>
  <si>
    <t>Этнокультурное развитие наций и народностей Кемеровской области</t>
  </si>
  <si>
    <t>Разработка схемы водоснабжения и водоотведения</t>
  </si>
  <si>
    <t>10 1 00 17301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</si>
  <si>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</si>
  <si>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11 1 00 72690</t>
  </si>
  <si>
    <t>04 2 00 L4970</t>
  </si>
  <si>
    <t>Реализация мероприятий по обеспечению жильем молодых семей</t>
  </si>
  <si>
    <t>11 1 00 S2690</t>
  </si>
  <si>
    <t>от ________________2018г. № ________</t>
  </si>
  <si>
    <t xml:space="preserve">от  21.12.2017 № 95 </t>
  </si>
  <si>
    <t>Приложение 5</t>
  </si>
  <si>
    <t>Поддержка государственной программы Кемеровской области и муниципальных программ формирования современной городской среды</t>
  </si>
  <si>
    <t xml:space="preserve">15 0 00 L5550 </t>
  </si>
  <si>
    <t>3 1 00 51350</t>
  </si>
  <si>
    <t>Капитальный ремонт ул. Ленина</t>
  </si>
  <si>
    <t>11 8 00 11182</t>
  </si>
  <si>
    <t>Заместитель начальника финансового управления города Анжеро-Судженска -</t>
  </si>
  <si>
    <t>Т.С. Орлова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</si>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</sst>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00"/>
    <numFmt numFmtId="167" formatCode="0.00000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4" fillId="0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5" fillId="0" borderId="0" xfId="0" applyFont="1" applyFill="1" applyAlignment="1">
      <alignment horizontal="center" wrapText="1"/>
    </xf>
    <xf numFmtId="0" fontId="14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center" wrapText="1"/>
    </xf>
    <xf numFmtId="164" fontId="9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0" fontId="17" fillId="2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1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textRotation="90" wrapText="1"/>
    </xf>
    <xf numFmtId="0" fontId="5" fillId="0" borderId="1" xfId="0" applyFont="1" applyFill="1" applyBorder="1" applyAlignment="1">
      <alignment horizontal="center" textRotation="90" wrapText="1"/>
    </xf>
    <xf numFmtId="0" fontId="5" fillId="0" borderId="0" xfId="0" applyFont="1" applyFill="1" applyAlignment="1">
      <alignment horizontal="left" wrapText="1"/>
    </xf>
    <xf numFmtId="49" fontId="6" fillId="0" borderId="1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164" fontId="0" fillId="0" borderId="0" xfId="0" applyNumberForma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0" fillId="0" borderId="0" xfId="0" applyAlignment="1">
      <alignment vertical="center" wrapText="1"/>
    </xf>
    <xf numFmtId="164" fontId="4" fillId="0" borderId="0" xfId="0" applyNumberFormat="1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0" fontId="15" fillId="0" borderId="3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164" fontId="15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vertical="center" wrapText="1"/>
    </xf>
    <xf numFmtId="165" fontId="9" fillId="0" borderId="0" xfId="0" applyNumberFormat="1" applyFont="1" applyFill="1"/>
    <xf numFmtId="0" fontId="18" fillId="0" borderId="1" xfId="0" applyNumberFormat="1" applyFont="1" applyFill="1" applyBorder="1" applyAlignment="1">
      <alignment horizontal="right" wrapText="1"/>
    </xf>
    <xf numFmtId="49" fontId="18" fillId="0" borderId="1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wrapText="1"/>
    </xf>
    <xf numFmtId="1" fontId="19" fillId="0" borderId="3" xfId="0" applyNumberFormat="1" applyFont="1" applyFill="1" applyBorder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right"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right" wrapText="1"/>
    </xf>
    <xf numFmtId="49" fontId="15" fillId="3" borderId="1" xfId="0" applyNumberFormat="1" applyFont="1" applyFill="1" applyBorder="1" applyAlignment="1">
      <alignment horizontal="center" wrapText="1"/>
    </xf>
    <xf numFmtId="164" fontId="15" fillId="3" borderId="1" xfId="0" applyNumberFormat="1" applyFont="1" applyFill="1" applyBorder="1" applyAlignment="1">
      <alignment horizontal="center" wrapText="1"/>
    </xf>
    <xf numFmtId="0" fontId="15" fillId="3" borderId="0" xfId="0" applyFont="1" applyFill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0" xfId="0" applyFill="1" applyAlignment="1">
      <alignment vertical="center" wrapText="1"/>
    </xf>
    <xf numFmtId="166" fontId="17" fillId="2" borderId="1" xfId="0" applyNumberFormat="1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3" borderId="0" xfId="0" applyNumberFormat="1" applyFont="1" applyFill="1" applyAlignment="1">
      <alignment wrapText="1"/>
    </xf>
    <xf numFmtId="0" fontId="10" fillId="0" borderId="0" xfId="0" applyFont="1" applyFill="1" applyAlignment="1">
      <alignment horizontal="right" wrapText="1"/>
    </xf>
    <xf numFmtId="0" fontId="0" fillId="0" borderId="0" xfId="0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49" fontId="10" fillId="0" borderId="4" xfId="0" applyNumberFormat="1" applyFont="1" applyFill="1" applyBorder="1" applyAlignment="1">
      <alignment horizontal="right" wrapText="1"/>
    </xf>
    <xf numFmtId="0" fontId="13" fillId="0" borderId="0" xfId="0" applyFont="1" applyFill="1" applyAlignment="1">
      <alignment horizontal="right" wrapText="1"/>
    </xf>
    <xf numFmtId="0" fontId="13" fillId="0" borderId="0" xfId="0" applyNumberFormat="1" applyFont="1" applyFill="1" applyAlignment="1">
      <alignment horizontal="center" wrapText="1"/>
    </xf>
    <xf numFmtId="49" fontId="13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8"/>
  <sheetViews>
    <sheetView topLeftCell="A466" workbookViewId="0">
      <selection activeCell="G362" sqref="G362"/>
    </sheetView>
  </sheetViews>
  <sheetFormatPr defaultColWidth="9.140625" defaultRowHeight="12.75" x14ac:dyDescent="0.2"/>
  <cols>
    <col min="1" max="1" width="53.5703125" style="21" customWidth="1"/>
    <col min="2" max="2" width="6.28515625" style="21" customWidth="1"/>
    <col min="3" max="3" width="4.85546875" style="37" customWidth="1"/>
    <col min="4" max="4" width="6.140625" style="37" customWidth="1"/>
    <col min="5" max="5" width="15.42578125" style="37" customWidth="1"/>
    <col min="6" max="6" width="5.85546875" style="37" customWidth="1"/>
    <col min="7" max="7" width="21.5703125" style="37" customWidth="1"/>
    <col min="8" max="9" width="14.28515625" style="37" customWidth="1"/>
    <col min="10" max="10" width="55.85546875" style="21" customWidth="1"/>
    <col min="11" max="11" width="10.28515625" style="21" customWidth="1"/>
    <col min="12" max="12" width="10.42578125" style="21" customWidth="1"/>
    <col min="13" max="14" width="9.140625" style="21" customWidth="1"/>
    <col min="15" max="16384" width="9.140625" style="21"/>
  </cols>
  <sheetData>
    <row r="1" spans="1:11" ht="12.75" customHeight="1" x14ac:dyDescent="0.25">
      <c r="A1" s="130" t="s">
        <v>85</v>
      </c>
      <c r="B1" s="130"/>
      <c r="C1" s="130"/>
      <c r="D1" s="130"/>
      <c r="E1" s="130"/>
      <c r="F1" s="130"/>
      <c r="G1" s="130"/>
      <c r="H1" s="130"/>
      <c r="I1" s="130"/>
    </row>
    <row r="2" spans="1:11" ht="12.75" customHeight="1" x14ac:dyDescent="0.25">
      <c r="A2" s="130" t="s">
        <v>78</v>
      </c>
      <c r="B2" s="130"/>
      <c r="C2" s="130"/>
      <c r="D2" s="130"/>
      <c r="E2" s="130"/>
      <c r="F2" s="130"/>
      <c r="G2" s="130"/>
      <c r="H2" s="130"/>
      <c r="I2" s="130"/>
    </row>
    <row r="3" spans="1:11" ht="12.75" customHeight="1" x14ac:dyDescent="0.25">
      <c r="A3" s="130" t="s">
        <v>364</v>
      </c>
      <c r="B3" s="130"/>
      <c r="C3" s="130"/>
      <c r="D3" s="130"/>
      <c r="E3" s="130"/>
      <c r="F3" s="130"/>
      <c r="G3" s="130"/>
      <c r="H3" s="130"/>
      <c r="I3" s="130"/>
    </row>
    <row r="4" spans="1:11" ht="12.75" customHeight="1" x14ac:dyDescent="0.2">
      <c r="I4" s="70"/>
    </row>
    <row r="5" spans="1:11" s="24" customFormat="1" ht="18.75" x14ac:dyDescent="0.3">
      <c r="A5" s="131" t="s">
        <v>84</v>
      </c>
      <c r="B5" s="131"/>
      <c r="C5" s="131"/>
      <c r="D5" s="131"/>
      <c r="E5" s="131"/>
      <c r="F5" s="131"/>
      <c r="G5" s="131"/>
      <c r="H5" s="131"/>
      <c r="I5" s="131"/>
    </row>
    <row r="6" spans="1:11" s="24" customFormat="1" ht="18.75" x14ac:dyDescent="0.3">
      <c r="A6" s="132" t="s">
        <v>380</v>
      </c>
      <c r="B6" s="132"/>
      <c r="C6" s="132"/>
      <c r="D6" s="132"/>
      <c r="E6" s="132"/>
      <c r="F6" s="132"/>
      <c r="G6" s="132"/>
      <c r="H6" s="132"/>
      <c r="I6" s="132"/>
    </row>
    <row r="7" spans="1:11" s="25" customFormat="1" ht="13.5" thickBot="1" x14ac:dyDescent="0.25">
      <c r="A7" s="129"/>
      <c r="B7" s="129"/>
      <c r="C7" s="129"/>
      <c r="D7" s="129"/>
      <c r="E7" s="129"/>
      <c r="F7" s="129"/>
      <c r="G7" s="129"/>
      <c r="I7" s="90" t="s">
        <v>62</v>
      </c>
    </row>
    <row r="8" spans="1:11" ht="13.5" customHeight="1" x14ac:dyDescent="0.2">
      <c r="A8" s="125"/>
      <c r="B8" s="127" t="s">
        <v>59</v>
      </c>
      <c r="C8" s="127" t="s">
        <v>8</v>
      </c>
      <c r="D8" s="127" t="s">
        <v>9</v>
      </c>
      <c r="E8" s="127" t="s">
        <v>10</v>
      </c>
      <c r="F8" s="127" t="s">
        <v>11</v>
      </c>
      <c r="G8" s="123" t="s">
        <v>142</v>
      </c>
      <c r="H8" s="123" t="s">
        <v>143</v>
      </c>
      <c r="I8" s="123" t="s">
        <v>379</v>
      </c>
    </row>
    <row r="9" spans="1:11" x14ac:dyDescent="0.2">
      <c r="A9" s="126"/>
      <c r="B9" s="128"/>
      <c r="C9" s="128"/>
      <c r="D9" s="128"/>
      <c r="E9" s="128"/>
      <c r="F9" s="128"/>
      <c r="G9" s="124"/>
      <c r="H9" s="124"/>
      <c r="I9" s="124"/>
    </row>
    <row r="10" spans="1:11" s="85" customFormat="1" ht="12" x14ac:dyDescent="0.2">
      <c r="A10" s="83">
        <v>1</v>
      </c>
      <c r="B10" s="86">
        <v>2</v>
      </c>
      <c r="C10" s="86">
        <v>3</v>
      </c>
      <c r="D10" s="86">
        <v>4</v>
      </c>
      <c r="E10" s="86">
        <v>5</v>
      </c>
      <c r="F10" s="86">
        <v>6</v>
      </c>
      <c r="G10" s="84">
        <v>7</v>
      </c>
      <c r="H10" s="84">
        <v>8</v>
      </c>
      <c r="I10" s="84">
        <v>9</v>
      </c>
    </row>
    <row r="11" spans="1:11" s="10" customFormat="1" ht="25.5" x14ac:dyDescent="0.2">
      <c r="A11" s="43" t="s">
        <v>45</v>
      </c>
      <c r="B11" s="44">
        <v>900</v>
      </c>
      <c r="C11" s="45"/>
      <c r="D11" s="45"/>
      <c r="E11" s="45"/>
      <c r="F11" s="55"/>
      <c r="G11" s="46">
        <f>G12+G58+G76+G86+G91+G109+G70+G113</f>
        <v>409974.80000000005</v>
      </c>
      <c r="H11" s="46">
        <f>H12+H58+H76+H86+H91+H109+H70+H113</f>
        <v>335954.10000000003</v>
      </c>
      <c r="I11" s="46">
        <f>I12+I58+I76+I86+I91+I109+I70+I113</f>
        <v>320918</v>
      </c>
      <c r="J11" s="72"/>
      <c r="K11" s="72"/>
    </row>
    <row r="12" spans="1:11" s="60" customFormat="1" x14ac:dyDescent="0.2">
      <c r="A12" s="57" t="s">
        <v>60</v>
      </c>
      <c r="B12" s="49">
        <v>900</v>
      </c>
      <c r="C12" s="1" t="s">
        <v>12</v>
      </c>
      <c r="D12" s="58"/>
      <c r="E12" s="58"/>
      <c r="F12" s="59"/>
      <c r="G12" s="2">
        <f>G13+G16+G36+G33+G30</f>
        <v>106862.20000000003</v>
      </c>
      <c r="H12" s="2">
        <f t="shared" ref="H12:I12" si="0">H13+H16+H36+H33+H30</f>
        <v>85535.1</v>
      </c>
      <c r="I12" s="2">
        <f t="shared" si="0"/>
        <v>85535.1</v>
      </c>
    </row>
    <row r="13" spans="1:11" s="9" customFormat="1" ht="38.25" x14ac:dyDescent="0.2">
      <c r="A13" s="11" t="s">
        <v>13</v>
      </c>
      <c r="B13" s="14">
        <v>900</v>
      </c>
      <c r="C13" s="8" t="s">
        <v>12</v>
      </c>
      <c r="D13" s="8" t="s">
        <v>14</v>
      </c>
      <c r="E13" s="8"/>
      <c r="F13" s="8"/>
      <c r="G13" s="4">
        <f t="shared" ref="G13:I14" si="1">G14</f>
        <v>1527</v>
      </c>
      <c r="H13" s="4">
        <f t="shared" si="1"/>
        <v>1527</v>
      </c>
      <c r="I13" s="4">
        <f t="shared" si="1"/>
        <v>1527</v>
      </c>
    </row>
    <row r="14" spans="1:11" ht="25.5" x14ac:dyDescent="0.2">
      <c r="A14" s="18" t="s">
        <v>354</v>
      </c>
      <c r="B14" s="22">
        <v>900</v>
      </c>
      <c r="C14" s="19" t="s">
        <v>12</v>
      </c>
      <c r="D14" s="19" t="s">
        <v>14</v>
      </c>
      <c r="E14" s="19" t="s">
        <v>145</v>
      </c>
      <c r="F14" s="19"/>
      <c r="G14" s="20">
        <f>G15</f>
        <v>1527</v>
      </c>
      <c r="H14" s="20">
        <f t="shared" si="1"/>
        <v>1527</v>
      </c>
      <c r="I14" s="20">
        <f t="shared" si="1"/>
        <v>1527</v>
      </c>
    </row>
    <row r="15" spans="1:11" s="29" customFormat="1" ht="51.75" customHeight="1" x14ac:dyDescent="0.2">
      <c r="A15" s="34" t="s">
        <v>66</v>
      </c>
      <c r="B15" s="36">
        <v>900</v>
      </c>
      <c r="C15" s="27" t="s">
        <v>12</v>
      </c>
      <c r="D15" s="27" t="s">
        <v>14</v>
      </c>
      <c r="E15" s="27" t="s">
        <v>145</v>
      </c>
      <c r="F15" s="30" t="s">
        <v>67</v>
      </c>
      <c r="G15" s="28">
        <f>1132.8+50+342.1+2.1</f>
        <v>1527</v>
      </c>
      <c r="H15" s="28">
        <f>1132.8+50+342.1+2.1</f>
        <v>1527</v>
      </c>
      <c r="I15" s="28">
        <f>1132.8+50+342.1+2.1</f>
        <v>1527</v>
      </c>
    </row>
    <row r="16" spans="1:11" s="9" customFormat="1" ht="51" x14ac:dyDescent="0.2">
      <c r="A16" s="11" t="s">
        <v>17</v>
      </c>
      <c r="B16" s="14">
        <v>900</v>
      </c>
      <c r="C16" s="8" t="s">
        <v>12</v>
      </c>
      <c r="D16" s="8" t="s">
        <v>18</v>
      </c>
      <c r="E16" s="8"/>
      <c r="F16" s="8"/>
      <c r="G16" s="4">
        <f>G17+G20+G23+G27</f>
        <v>56184.500000000007</v>
      </c>
      <c r="H16" s="4">
        <f>H17+H20+H23+H27</f>
        <v>48184.500000000007</v>
      </c>
      <c r="I16" s="4">
        <f>I17+I20+I23+I27</f>
        <v>48184.500000000007</v>
      </c>
    </row>
    <row r="17" spans="1:13" ht="25.5" x14ac:dyDescent="0.2">
      <c r="A17" s="18" t="s">
        <v>146</v>
      </c>
      <c r="B17" s="22">
        <v>900</v>
      </c>
      <c r="C17" s="19" t="s">
        <v>12</v>
      </c>
      <c r="D17" s="19" t="s">
        <v>18</v>
      </c>
      <c r="E17" s="19" t="s">
        <v>89</v>
      </c>
      <c r="F17" s="19"/>
      <c r="G17" s="20">
        <f>G18+G19</f>
        <v>347</v>
      </c>
      <c r="H17" s="20">
        <f>H18+H19</f>
        <v>347</v>
      </c>
      <c r="I17" s="20">
        <f>I18+I19</f>
        <v>347</v>
      </c>
    </row>
    <row r="18" spans="1:13" s="29" customFormat="1" ht="52.5" customHeight="1" x14ac:dyDescent="0.2">
      <c r="A18" s="26" t="s">
        <v>66</v>
      </c>
      <c r="B18" s="35">
        <v>900</v>
      </c>
      <c r="C18" s="27" t="s">
        <v>12</v>
      </c>
      <c r="D18" s="27" t="s">
        <v>18</v>
      </c>
      <c r="E18" s="27" t="s">
        <v>89</v>
      </c>
      <c r="F18" s="30" t="s">
        <v>67</v>
      </c>
      <c r="G18" s="28">
        <f>242.6+73.3+3</f>
        <v>318.89999999999998</v>
      </c>
      <c r="H18" s="28">
        <f>242.6+73.3+3</f>
        <v>318.89999999999998</v>
      </c>
      <c r="I18" s="28">
        <f>242.6+73.3+3</f>
        <v>318.89999999999998</v>
      </c>
      <c r="J18" s="21"/>
      <c r="K18" s="21"/>
      <c r="L18" s="21"/>
      <c r="M18" s="21"/>
    </row>
    <row r="19" spans="1:13" s="29" customFormat="1" ht="25.5" x14ac:dyDescent="0.2">
      <c r="A19" s="26" t="s">
        <v>137</v>
      </c>
      <c r="B19" s="35">
        <v>900</v>
      </c>
      <c r="C19" s="27" t="s">
        <v>12</v>
      </c>
      <c r="D19" s="27" t="s">
        <v>18</v>
      </c>
      <c r="E19" s="27" t="s">
        <v>89</v>
      </c>
      <c r="F19" s="30" t="s">
        <v>68</v>
      </c>
      <c r="G19" s="28">
        <f>13+15.1</f>
        <v>28.1</v>
      </c>
      <c r="H19" s="28">
        <f>13+15.1</f>
        <v>28.1</v>
      </c>
      <c r="I19" s="28">
        <f>13+15.1</f>
        <v>28.1</v>
      </c>
      <c r="J19" s="21"/>
      <c r="K19" s="21"/>
      <c r="L19" s="21"/>
      <c r="M19" s="21"/>
    </row>
    <row r="20" spans="1:13" ht="15" customHeight="1" x14ac:dyDescent="0.2">
      <c r="A20" s="18" t="s">
        <v>147</v>
      </c>
      <c r="B20" s="22">
        <v>900</v>
      </c>
      <c r="C20" s="19" t="s">
        <v>12</v>
      </c>
      <c r="D20" s="19" t="s">
        <v>18</v>
      </c>
      <c r="E20" s="19" t="s">
        <v>88</v>
      </c>
      <c r="F20" s="19"/>
      <c r="G20" s="20">
        <f>G21+G22</f>
        <v>115</v>
      </c>
      <c r="H20" s="20">
        <f t="shared" ref="H20:I20" si="2">H21+H22</f>
        <v>115</v>
      </c>
      <c r="I20" s="20">
        <f t="shared" si="2"/>
        <v>115</v>
      </c>
    </row>
    <row r="21" spans="1:13" s="29" customFormat="1" ht="51.75" customHeight="1" x14ac:dyDescent="0.2">
      <c r="A21" s="26" t="s">
        <v>66</v>
      </c>
      <c r="B21" s="35">
        <v>900</v>
      </c>
      <c r="C21" s="27" t="s">
        <v>12</v>
      </c>
      <c r="D21" s="27" t="s">
        <v>18</v>
      </c>
      <c r="E21" s="27" t="s">
        <v>88</v>
      </c>
      <c r="F21" s="30" t="s">
        <v>67</v>
      </c>
      <c r="G21" s="28">
        <f>82.7+25</f>
        <v>107.7</v>
      </c>
      <c r="H21" s="28">
        <v>107.7</v>
      </c>
      <c r="I21" s="28">
        <v>107.7</v>
      </c>
      <c r="J21" s="21"/>
      <c r="K21" s="21"/>
      <c r="L21" s="21"/>
      <c r="M21" s="21"/>
    </row>
    <row r="22" spans="1:13" s="29" customFormat="1" ht="25.5" x14ac:dyDescent="0.2">
      <c r="A22" s="26" t="s">
        <v>137</v>
      </c>
      <c r="B22" s="35">
        <v>900</v>
      </c>
      <c r="C22" s="27" t="s">
        <v>12</v>
      </c>
      <c r="D22" s="27" t="s">
        <v>18</v>
      </c>
      <c r="E22" s="27" t="s">
        <v>88</v>
      </c>
      <c r="F22" s="30" t="s">
        <v>68</v>
      </c>
      <c r="G22" s="28">
        <v>7.3</v>
      </c>
      <c r="H22" s="28">
        <v>7.3</v>
      </c>
      <c r="I22" s="28">
        <v>7.3</v>
      </c>
      <c r="J22" s="21"/>
      <c r="K22" s="21"/>
      <c r="L22" s="21"/>
      <c r="M22" s="21"/>
    </row>
    <row r="23" spans="1:13" ht="25.5" x14ac:dyDescent="0.2">
      <c r="A23" s="18" t="s">
        <v>354</v>
      </c>
      <c r="B23" s="22">
        <v>900</v>
      </c>
      <c r="C23" s="19" t="s">
        <v>12</v>
      </c>
      <c r="D23" s="19" t="s">
        <v>18</v>
      </c>
      <c r="E23" s="19" t="s">
        <v>148</v>
      </c>
      <c r="F23" s="19"/>
      <c r="G23" s="20">
        <f>G24+G25+G26</f>
        <v>52448.400000000009</v>
      </c>
      <c r="H23" s="20">
        <f>H24+H25+H26</f>
        <v>44448.400000000009</v>
      </c>
      <c r="I23" s="20">
        <f>I24+I25+I26</f>
        <v>44448.400000000009</v>
      </c>
    </row>
    <row r="24" spans="1:13" s="29" customFormat="1" ht="51" customHeight="1" x14ac:dyDescent="0.2">
      <c r="A24" s="34" t="s">
        <v>66</v>
      </c>
      <c r="B24" s="36">
        <v>900</v>
      </c>
      <c r="C24" s="27" t="s">
        <v>12</v>
      </c>
      <c r="D24" s="27" t="s">
        <v>18</v>
      </c>
      <c r="E24" s="27" t="s">
        <v>148</v>
      </c>
      <c r="F24" s="30" t="s">
        <v>67</v>
      </c>
      <c r="G24" s="28">
        <f>24727.4+7467.7+70+321.6</f>
        <v>32586.7</v>
      </c>
      <c r="H24" s="28">
        <f>24727.4+7467.7+70+321.6</f>
        <v>32586.7</v>
      </c>
      <c r="I24" s="28">
        <f>24727.4+7467.7+70+321.6</f>
        <v>32586.7</v>
      </c>
    </row>
    <row r="25" spans="1:13" s="29" customFormat="1" ht="25.5" x14ac:dyDescent="0.2">
      <c r="A25" s="31" t="s">
        <v>76</v>
      </c>
      <c r="B25" s="36">
        <v>900</v>
      </c>
      <c r="C25" s="27" t="s">
        <v>12</v>
      </c>
      <c r="D25" s="27" t="s">
        <v>18</v>
      </c>
      <c r="E25" s="27" t="s">
        <v>148</v>
      </c>
      <c r="F25" s="30" t="s">
        <v>68</v>
      </c>
      <c r="G25" s="28">
        <f>800+980.8+300+100+50+30+2191.3+50+20+4+300+2752+8000+3409.3+10+100+500</f>
        <v>19597.400000000001</v>
      </c>
      <c r="H25" s="28">
        <f>800+980.8+300+100+50+30+2191.3+50+20+4+300+2752+3409.3+10+100+500</f>
        <v>11597.400000000001</v>
      </c>
      <c r="I25" s="28">
        <f>800+980.8+300+100+50+30+2191.3+50+20+4+300+2752+3409.3+10+100+500</f>
        <v>11597.400000000001</v>
      </c>
    </row>
    <row r="26" spans="1:13" s="29" customFormat="1" x14ac:dyDescent="0.2">
      <c r="A26" s="31" t="s">
        <v>72</v>
      </c>
      <c r="B26" s="35">
        <v>900</v>
      </c>
      <c r="C26" s="27" t="s">
        <v>12</v>
      </c>
      <c r="D26" s="27" t="s">
        <v>18</v>
      </c>
      <c r="E26" s="27" t="s">
        <v>148</v>
      </c>
      <c r="F26" s="27" t="s">
        <v>73</v>
      </c>
      <c r="G26" s="28">
        <f>10+154.3+50+50</f>
        <v>264.3</v>
      </c>
      <c r="H26" s="28">
        <f>10+154.3+50+50</f>
        <v>264.3</v>
      </c>
      <c r="I26" s="28">
        <f>10+154.3+50+50</f>
        <v>264.3</v>
      </c>
    </row>
    <row r="27" spans="1:13" ht="25.5" x14ac:dyDescent="0.2">
      <c r="A27" s="18" t="s">
        <v>354</v>
      </c>
      <c r="B27" s="22">
        <v>900</v>
      </c>
      <c r="C27" s="19" t="s">
        <v>12</v>
      </c>
      <c r="D27" s="19" t="s">
        <v>18</v>
      </c>
      <c r="E27" s="19" t="s">
        <v>149</v>
      </c>
      <c r="F27" s="19"/>
      <c r="G27" s="20">
        <f>G28+G29</f>
        <v>3274.1</v>
      </c>
      <c r="H27" s="20">
        <f>H28+H29</f>
        <v>3274.1</v>
      </c>
      <c r="I27" s="20">
        <f>I28+I29</f>
        <v>3274.1</v>
      </c>
    </row>
    <row r="28" spans="1:13" s="29" customFormat="1" ht="52.5" customHeight="1" x14ac:dyDescent="0.2">
      <c r="A28" s="34" t="s">
        <v>66</v>
      </c>
      <c r="B28" s="36">
        <v>900</v>
      </c>
      <c r="C28" s="27" t="s">
        <v>12</v>
      </c>
      <c r="D28" s="27" t="s">
        <v>18</v>
      </c>
      <c r="E28" s="19" t="s">
        <v>149</v>
      </c>
      <c r="F28" s="30" t="s">
        <v>67</v>
      </c>
      <c r="G28" s="28">
        <f>2378.7+718.4+29.8</f>
        <v>3126.9</v>
      </c>
      <c r="H28" s="28">
        <f>2378.7+718.4+29.8</f>
        <v>3126.9</v>
      </c>
      <c r="I28" s="28">
        <f>2378.7+718.4+29.8</f>
        <v>3126.9</v>
      </c>
    </row>
    <row r="29" spans="1:13" s="29" customFormat="1" ht="25.5" x14ac:dyDescent="0.2">
      <c r="A29" s="31" t="s">
        <v>76</v>
      </c>
      <c r="B29" s="36">
        <v>900</v>
      </c>
      <c r="C29" s="27" t="s">
        <v>12</v>
      </c>
      <c r="D29" s="27" t="s">
        <v>18</v>
      </c>
      <c r="E29" s="19" t="s">
        <v>149</v>
      </c>
      <c r="F29" s="30" t="s">
        <v>68</v>
      </c>
      <c r="G29" s="28">
        <f>20+5+1+10+111.2</f>
        <v>147.19999999999999</v>
      </c>
      <c r="H29" s="28">
        <f>20+5+1+10+111.2</f>
        <v>147.19999999999999</v>
      </c>
      <c r="I29" s="28">
        <f>20+5+1+10+111.2</f>
        <v>147.19999999999999</v>
      </c>
    </row>
    <row r="30" spans="1:13" s="9" customFormat="1" x14ac:dyDescent="0.2">
      <c r="A30" s="11" t="s">
        <v>385</v>
      </c>
      <c r="B30" s="14">
        <v>900</v>
      </c>
      <c r="C30" s="8" t="s">
        <v>12</v>
      </c>
      <c r="D30" s="8" t="s">
        <v>31</v>
      </c>
      <c r="E30" s="8"/>
      <c r="F30" s="8"/>
      <c r="G30" s="4">
        <f>G31</f>
        <v>196.3</v>
      </c>
      <c r="H30" s="4">
        <f t="shared" ref="H30:I30" si="3">H31</f>
        <v>0</v>
      </c>
      <c r="I30" s="4">
        <f t="shared" si="3"/>
        <v>0</v>
      </c>
    </row>
    <row r="31" spans="1:13" ht="38.25" customHeight="1" x14ac:dyDescent="0.2">
      <c r="A31" s="18" t="s">
        <v>386</v>
      </c>
      <c r="B31" s="22">
        <v>900</v>
      </c>
      <c r="C31" s="19" t="s">
        <v>12</v>
      </c>
      <c r="D31" s="19" t="s">
        <v>31</v>
      </c>
      <c r="E31" s="19" t="s">
        <v>387</v>
      </c>
      <c r="F31" s="19"/>
      <c r="G31" s="20">
        <f>G32</f>
        <v>196.3</v>
      </c>
      <c r="H31" s="20">
        <f t="shared" ref="H31:I31" si="4">H32</f>
        <v>0</v>
      </c>
      <c r="I31" s="20">
        <f t="shared" si="4"/>
        <v>0</v>
      </c>
    </row>
    <row r="32" spans="1:13" s="29" customFormat="1" ht="25.5" x14ac:dyDescent="0.2">
      <c r="A32" s="26" t="s">
        <v>137</v>
      </c>
      <c r="B32" s="35">
        <v>900</v>
      </c>
      <c r="C32" s="27" t="s">
        <v>12</v>
      </c>
      <c r="D32" s="27" t="s">
        <v>31</v>
      </c>
      <c r="E32" s="19" t="s">
        <v>387</v>
      </c>
      <c r="F32" s="30" t="s">
        <v>68</v>
      </c>
      <c r="G32" s="28">
        <v>196.3</v>
      </c>
      <c r="H32" s="28">
        <v>0</v>
      </c>
      <c r="I32" s="28">
        <v>0</v>
      </c>
      <c r="J32" s="21"/>
      <c r="K32" s="21"/>
      <c r="L32" s="21"/>
      <c r="M32" s="21"/>
    </row>
    <row r="33" spans="1:15" s="9" customFormat="1" x14ac:dyDescent="0.2">
      <c r="A33" s="11" t="s">
        <v>22</v>
      </c>
      <c r="B33" s="14">
        <v>900</v>
      </c>
      <c r="C33" s="8" t="s">
        <v>12</v>
      </c>
      <c r="D33" s="8" t="s">
        <v>21</v>
      </c>
      <c r="E33" s="8"/>
      <c r="F33" s="8"/>
      <c r="G33" s="4">
        <f t="shared" ref="G33:I34" si="5">G34</f>
        <v>1204.0999999999999</v>
      </c>
      <c r="H33" s="4">
        <f t="shared" si="5"/>
        <v>1204.0999999999999</v>
      </c>
      <c r="I33" s="4">
        <f t="shared" si="5"/>
        <v>1204.0999999999999</v>
      </c>
      <c r="J33" s="29"/>
      <c r="K33" s="29"/>
      <c r="L33" s="29"/>
      <c r="M33" s="29"/>
      <c r="N33" s="29"/>
      <c r="O33" s="29"/>
    </row>
    <row r="34" spans="1:15" s="7" customFormat="1" x14ac:dyDescent="0.2">
      <c r="A34" s="18" t="s">
        <v>294</v>
      </c>
      <c r="B34" s="66">
        <v>900</v>
      </c>
      <c r="C34" s="61" t="s">
        <v>12</v>
      </c>
      <c r="D34" s="61" t="s">
        <v>21</v>
      </c>
      <c r="E34" s="19" t="s">
        <v>296</v>
      </c>
      <c r="F34" s="19"/>
      <c r="G34" s="20">
        <f t="shared" si="5"/>
        <v>1204.0999999999999</v>
      </c>
      <c r="H34" s="20">
        <f t="shared" si="5"/>
        <v>1204.0999999999999</v>
      </c>
      <c r="I34" s="20">
        <f t="shared" si="5"/>
        <v>1204.0999999999999</v>
      </c>
      <c r="J34" s="21"/>
      <c r="K34" s="21"/>
      <c r="L34" s="21"/>
      <c r="M34" s="21"/>
      <c r="N34" s="21"/>
      <c r="O34" s="21"/>
    </row>
    <row r="35" spans="1:15" s="29" customFormat="1" x14ac:dyDescent="0.2">
      <c r="A35" s="31" t="s">
        <v>72</v>
      </c>
      <c r="B35" s="35">
        <v>900</v>
      </c>
      <c r="C35" s="27" t="s">
        <v>12</v>
      </c>
      <c r="D35" s="27" t="s">
        <v>21</v>
      </c>
      <c r="E35" s="27" t="s">
        <v>296</v>
      </c>
      <c r="F35" s="27" t="s">
        <v>73</v>
      </c>
      <c r="G35" s="28">
        <f>1024.8+179.3</f>
        <v>1204.0999999999999</v>
      </c>
      <c r="H35" s="28">
        <f>1024.8+179.3</f>
        <v>1204.0999999999999</v>
      </c>
      <c r="I35" s="28">
        <f>1024.8+179.3</f>
        <v>1204.0999999999999</v>
      </c>
      <c r="J35" s="21"/>
      <c r="K35" s="21"/>
      <c r="L35" s="21"/>
      <c r="M35" s="21"/>
    </row>
    <row r="36" spans="1:15" s="9" customFormat="1" x14ac:dyDescent="0.2">
      <c r="A36" s="11" t="s">
        <v>24</v>
      </c>
      <c r="B36" s="14">
        <v>900</v>
      </c>
      <c r="C36" s="8" t="s">
        <v>12</v>
      </c>
      <c r="D36" s="8" t="s">
        <v>61</v>
      </c>
      <c r="E36" s="8"/>
      <c r="F36" s="8"/>
      <c r="G36" s="4">
        <f>G41+G47+G49+G53+G56+G43+G45+G51+G37+G39</f>
        <v>47750.3</v>
      </c>
      <c r="H36" s="4">
        <f t="shared" ref="H36:I36" si="6">H41+H47+H49+H53+H56+H43+H45+H51+H37+H39</f>
        <v>34619.5</v>
      </c>
      <c r="I36" s="4">
        <f t="shared" si="6"/>
        <v>34619.5</v>
      </c>
    </row>
    <row r="37" spans="1:15" x14ac:dyDescent="0.2">
      <c r="A37" s="18" t="s">
        <v>234</v>
      </c>
      <c r="B37" s="22">
        <v>900</v>
      </c>
      <c r="C37" s="19" t="s">
        <v>12</v>
      </c>
      <c r="D37" s="19" t="s">
        <v>61</v>
      </c>
      <c r="E37" s="19" t="s">
        <v>233</v>
      </c>
      <c r="F37" s="19"/>
      <c r="G37" s="20">
        <f>G38</f>
        <v>3092.6</v>
      </c>
      <c r="H37" s="20">
        <f>H38</f>
        <v>3092.6</v>
      </c>
      <c r="I37" s="20">
        <f>I38</f>
        <v>3092.6</v>
      </c>
    </row>
    <row r="38" spans="1:15" s="29" customFormat="1" x14ac:dyDescent="0.2">
      <c r="A38" s="31" t="s">
        <v>69</v>
      </c>
      <c r="B38" s="35">
        <v>900</v>
      </c>
      <c r="C38" s="27" t="s">
        <v>12</v>
      </c>
      <c r="D38" s="27" t="s">
        <v>61</v>
      </c>
      <c r="E38" s="27" t="s">
        <v>233</v>
      </c>
      <c r="F38" s="27" t="s">
        <v>70</v>
      </c>
      <c r="G38" s="28">
        <v>3092.6</v>
      </c>
      <c r="H38" s="28">
        <v>3092.6</v>
      </c>
      <c r="I38" s="28">
        <v>3092.6</v>
      </c>
      <c r="J38" s="21"/>
      <c r="K38" s="21"/>
      <c r="L38" s="21"/>
      <c r="M38" s="21"/>
      <c r="N38" s="21"/>
      <c r="O38" s="21"/>
    </row>
    <row r="39" spans="1:15" x14ac:dyDescent="0.2">
      <c r="A39" s="18" t="s">
        <v>295</v>
      </c>
      <c r="B39" s="22">
        <v>900</v>
      </c>
      <c r="C39" s="19" t="s">
        <v>12</v>
      </c>
      <c r="D39" s="19" t="s">
        <v>61</v>
      </c>
      <c r="E39" s="19" t="s">
        <v>297</v>
      </c>
      <c r="F39" s="19"/>
      <c r="G39" s="20">
        <f>G40</f>
        <v>1709.5</v>
      </c>
      <c r="H39" s="20">
        <f>H40</f>
        <v>1709.5</v>
      </c>
      <c r="I39" s="20">
        <f>I40</f>
        <v>1709.5</v>
      </c>
      <c r="N39" s="29"/>
      <c r="O39" s="29"/>
    </row>
    <row r="40" spans="1:15" s="29" customFormat="1" x14ac:dyDescent="0.2">
      <c r="A40" s="31" t="s">
        <v>72</v>
      </c>
      <c r="B40" s="35">
        <v>900</v>
      </c>
      <c r="C40" s="27" t="s">
        <v>12</v>
      </c>
      <c r="D40" s="27" t="s">
        <v>61</v>
      </c>
      <c r="E40" s="27" t="s">
        <v>297</v>
      </c>
      <c r="F40" s="27" t="s">
        <v>73</v>
      </c>
      <c r="G40" s="28">
        <f>1838.9-129.4</f>
        <v>1709.5</v>
      </c>
      <c r="H40" s="28">
        <f>1838.9-129.4</f>
        <v>1709.5</v>
      </c>
      <c r="I40" s="28">
        <f>1838.9-129.4</f>
        <v>1709.5</v>
      </c>
      <c r="J40" s="9"/>
      <c r="K40" s="9"/>
      <c r="L40" s="9"/>
      <c r="M40" s="9"/>
      <c r="N40" s="9"/>
      <c r="O40" s="9"/>
    </row>
    <row r="41" spans="1:15" x14ac:dyDescent="0.2">
      <c r="A41" s="18" t="s">
        <v>150</v>
      </c>
      <c r="B41" s="22">
        <v>900</v>
      </c>
      <c r="C41" s="19" t="s">
        <v>12</v>
      </c>
      <c r="D41" s="19" t="s">
        <v>61</v>
      </c>
      <c r="E41" s="19" t="s">
        <v>151</v>
      </c>
      <c r="F41" s="19"/>
      <c r="G41" s="20">
        <f>G42</f>
        <v>17922.900000000001</v>
      </c>
      <c r="H41" s="20">
        <f>H42</f>
        <v>17922.900000000001</v>
      </c>
      <c r="I41" s="20">
        <f>I42</f>
        <v>17922.900000000001</v>
      </c>
    </row>
    <row r="42" spans="1:15" s="29" customFormat="1" ht="25.5" x14ac:dyDescent="0.2">
      <c r="A42" s="31" t="s">
        <v>144</v>
      </c>
      <c r="B42" s="35">
        <v>900</v>
      </c>
      <c r="C42" s="27" t="s">
        <v>12</v>
      </c>
      <c r="D42" s="27" t="s">
        <v>61</v>
      </c>
      <c r="E42" s="27" t="s">
        <v>151</v>
      </c>
      <c r="F42" s="27" t="s">
        <v>65</v>
      </c>
      <c r="G42" s="28">
        <f>17545.9+213+25+139</f>
        <v>17922.900000000001</v>
      </c>
      <c r="H42" s="28">
        <f>17545.9+213+25+139</f>
        <v>17922.900000000001</v>
      </c>
      <c r="I42" s="28">
        <f>17545.9+213+25+139</f>
        <v>17922.900000000001</v>
      </c>
      <c r="J42" s="21"/>
      <c r="K42" s="21"/>
      <c r="L42" s="21"/>
      <c r="M42" s="21"/>
    </row>
    <row r="43" spans="1:15" ht="25.5" x14ac:dyDescent="0.2">
      <c r="A43" s="17" t="s">
        <v>166</v>
      </c>
      <c r="B43" s="17">
        <v>900</v>
      </c>
      <c r="C43" s="19" t="s">
        <v>12</v>
      </c>
      <c r="D43" s="19" t="s">
        <v>61</v>
      </c>
      <c r="E43" s="19" t="s">
        <v>165</v>
      </c>
      <c r="F43" s="5"/>
      <c r="G43" s="6">
        <f>G44</f>
        <v>25.799999999999997</v>
      </c>
      <c r="H43" s="6">
        <f>H44</f>
        <v>25.799999999999997</v>
      </c>
      <c r="I43" s="6">
        <f>I44</f>
        <v>25.799999999999997</v>
      </c>
    </row>
    <row r="44" spans="1:15" ht="25.5" x14ac:dyDescent="0.2">
      <c r="A44" s="31" t="s">
        <v>144</v>
      </c>
      <c r="B44" s="31">
        <v>900</v>
      </c>
      <c r="C44" s="27" t="s">
        <v>12</v>
      </c>
      <c r="D44" s="27" t="s">
        <v>61</v>
      </c>
      <c r="E44" s="27" t="s">
        <v>165</v>
      </c>
      <c r="F44" s="27" t="s">
        <v>65</v>
      </c>
      <c r="G44" s="28">
        <f>10.2+15.6</f>
        <v>25.799999999999997</v>
      </c>
      <c r="H44" s="28">
        <f>10.2+15.6</f>
        <v>25.799999999999997</v>
      </c>
      <c r="I44" s="28">
        <f>10.2+15.6</f>
        <v>25.799999999999997</v>
      </c>
    </row>
    <row r="45" spans="1:15" x14ac:dyDescent="0.2">
      <c r="A45" s="18" t="s">
        <v>177</v>
      </c>
      <c r="B45" s="22">
        <v>900</v>
      </c>
      <c r="C45" s="19" t="s">
        <v>12</v>
      </c>
      <c r="D45" s="19" t="s">
        <v>61</v>
      </c>
      <c r="E45" s="19" t="s">
        <v>176</v>
      </c>
      <c r="F45" s="19"/>
      <c r="G45" s="20">
        <f>G46</f>
        <v>13130.8</v>
      </c>
      <c r="H45" s="20">
        <f>H46</f>
        <v>0</v>
      </c>
      <c r="I45" s="20">
        <f>I46</f>
        <v>0</v>
      </c>
    </row>
    <row r="46" spans="1:15" s="29" customFormat="1" ht="25.5" x14ac:dyDescent="0.2">
      <c r="A46" s="31" t="s">
        <v>83</v>
      </c>
      <c r="B46" s="35">
        <v>900</v>
      </c>
      <c r="C46" s="27" t="s">
        <v>12</v>
      </c>
      <c r="D46" s="27" t="s">
        <v>61</v>
      </c>
      <c r="E46" s="27" t="s">
        <v>176</v>
      </c>
      <c r="F46" s="27" t="s">
        <v>71</v>
      </c>
      <c r="G46" s="28">
        <v>13130.8</v>
      </c>
      <c r="H46" s="28"/>
      <c r="I46" s="28"/>
    </row>
    <row r="47" spans="1:15" ht="38.25" x14ac:dyDescent="0.2">
      <c r="A47" s="18" t="s">
        <v>152</v>
      </c>
      <c r="B47" s="22">
        <v>900</v>
      </c>
      <c r="C47" s="19" t="s">
        <v>12</v>
      </c>
      <c r="D47" s="19" t="s">
        <v>61</v>
      </c>
      <c r="E47" s="19" t="s">
        <v>87</v>
      </c>
      <c r="F47" s="19"/>
      <c r="G47" s="20">
        <f>G48</f>
        <v>120</v>
      </c>
      <c r="H47" s="20">
        <f>H48</f>
        <v>120</v>
      </c>
      <c r="I47" s="20">
        <f>I48</f>
        <v>120</v>
      </c>
    </row>
    <row r="48" spans="1:15" s="29" customFormat="1" ht="25.5" x14ac:dyDescent="0.2">
      <c r="A48" s="31" t="s">
        <v>144</v>
      </c>
      <c r="B48" s="35">
        <v>900</v>
      </c>
      <c r="C48" s="27" t="s">
        <v>12</v>
      </c>
      <c r="D48" s="27" t="s">
        <v>61</v>
      </c>
      <c r="E48" s="27" t="s">
        <v>87</v>
      </c>
      <c r="F48" s="27" t="s">
        <v>65</v>
      </c>
      <c r="G48" s="28">
        <v>120</v>
      </c>
      <c r="H48" s="28">
        <v>120</v>
      </c>
      <c r="I48" s="28">
        <v>120</v>
      </c>
      <c r="J48" s="21"/>
      <c r="K48" s="21"/>
      <c r="L48" s="21"/>
      <c r="M48" s="21"/>
    </row>
    <row r="49" spans="1:13" ht="30.75" customHeight="1" x14ac:dyDescent="0.2">
      <c r="A49" s="17" t="s">
        <v>153</v>
      </c>
      <c r="B49" s="50">
        <v>900</v>
      </c>
      <c r="C49" s="19" t="s">
        <v>12</v>
      </c>
      <c r="D49" s="19" t="s">
        <v>61</v>
      </c>
      <c r="E49" s="19" t="s">
        <v>154</v>
      </c>
      <c r="F49" s="19"/>
      <c r="G49" s="20">
        <f>G50</f>
        <v>828</v>
      </c>
      <c r="H49" s="20">
        <f>H50</f>
        <v>828</v>
      </c>
      <c r="I49" s="20">
        <f>I50</f>
        <v>828</v>
      </c>
    </row>
    <row r="50" spans="1:13" s="29" customFormat="1" x14ac:dyDescent="0.2">
      <c r="A50" s="31" t="s">
        <v>69</v>
      </c>
      <c r="B50" s="35">
        <v>900</v>
      </c>
      <c r="C50" s="27" t="s">
        <v>12</v>
      </c>
      <c r="D50" s="27" t="s">
        <v>61</v>
      </c>
      <c r="E50" s="27" t="s">
        <v>154</v>
      </c>
      <c r="F50" s="27" t="s">
        <v>70</v>
      </c>
      <c r="G50" s="28">
        <v>828</v>
      </c>
      <c r="H50" s="28">
        <v>828</v>
      </c>
      <c r="I50" s="28">
        <v>828</v>
      </c>
    </row>
    <row r="51" spans="1:13" s="12" customFormat="1" ht="25.5" x14ac:dyDescent="0.2">
      <c r="A51" s="64" t="s">
        <v>155</v>
      </c>
      <c r="B51" s="65">
        <v>900</v>
      </c>
      <c r="C51" s="19" t="s">
        <v>12</v>
      </c>
      <c r="D51" s="19" t="s">
        <v>61</v>
      </c>
      <c r="E51" s="5" t="s">
        <v>156</v>
      </c>
      <c r="F51" s="5"/>
      <c r="G51" s="6">
        <f>G52</f>
        <v>3594.8</v>
      </c>
      <c r="H51" s="6">
        <f>H52</f>
        <v>3594.8</v>
      </c>
      <c r="I51" s="6">
        <f>I52</f>
        <v>3594.8</v>
      </c>
    </row>
    <row r="52" spans="1:13" s="32" customFormat="1" ht="25.5" x14ac:dyDescent="0.2">
      <c r="A52" s="31" t="s">
        <v>144</v>
      </c>
      <c r="B52" s="35">
        <v>900</v>
      </c>
      <c r="C52" s="27" t="s">
        <v>12</v>
      </c>
      <c r="D52" s="27" t="s">
        <v>61</v>
      </c>
      <c r="E52" s="27" t="s">
        <v>156</v>
      </c>
      <c r="F52" s="27" t="s">
        <v>65</v>
      </c>
      <c r="G52" s="28">
        <f>3565.9+28.9</f>
        <v>3594.8</v>
      </c>
      <c r="H52" s="28">
        <f>3565.9+28.9</f>
        <v>3594.8</v>
      </c>
      <c r="I52" s="28">
        <f>3565.9+28.9</f>
        <v>3594.8</v>
      </c>
      <c r="J52" s="12"/>
      <c r="K52" s="12"/>
      <c r="L52" s="12"/>
      <c r="M52" s="12"/>
    </row>
    <row r="53" spans="1:13" ht="102" x14ac:dyDescent="0.2">
      <c r="A53" s="53" t="s">
        <v>158</v>
      </c>
      <c r="B53" s="22">
        <v>900</v>
      </c>
      <c r="C53" s="19" t="s">
        <v>12</v>
      </c>
      <c r="D53" s="19" t="s">
        <v>61</v>
      </c>
      <c r="E53" s="19" t="s">
        <v>157</v>
      </c>
      <c r="F53" s="19"/>
      <c r="G53" s="20">
        <f>G54+G55</f>
        <v>7091.5</v>
      </c>
      <c r="H53" s="20">
        <f>H54+H55</f>
        <v>7091.5</v>
      </c>
      <c r="I53" s="20">
        <f>I54+I55</f>
        <v>7091.5</v>
      </c>
    </row>
    <row r="54" spans="1:13" s="29" customFormat="1" ht="53.25" customHeight="1" x14ac:dyDescent="0.2">
      <c r="A54" s="26" t="s">
        <v>66</v>
      </c>
      <c r="B54" s="35">
        <v>900</v>
      </c>
      <c r="C54" s="27" t="s">
        <v>12</v>
      </c>
      <c r="D54" s="27" t="s">
        <v>61</v>
      </c>
      <c r="E54" s="27" t="s">
        <v>157</v>
      </c>
      <c r="F54" s="30" t="s">
        <v>67</v>
      </c>
      <c r="G54" s="28">
        <f>5361+1619+67.1</f>
        <v>7047.1</v>
      </c>
      <c r="H54" s="28">
        <f>5361+1619+67.1</f>
        <v>7047.1</v>
      </c>
      <c r="I54" s="28">
        <f>5361+1619+67.1</f>
        <v>7047.1</v>
      </c>
      <c r="J54" s="21"/>
      <c r="K54" s="21"/>
      <c r="L54" s="21"/>
      <c r="M54" s="21"/>
    </row>
    <row r="55" spans="1:13" s="29" customFormat="1" ht="25.5" x14ac:dyDescent="0.2">
      <c r="A55" s="31" t="s">
        <v>76</v>
      </c>
      <c r="B55" s="35">
        <v>900</v>
      </c>
      <c r="C55" s="27" t="s">
        <v>12</v>
      </c>
      <c r="D55" s="27" t="s">
        <v>61</v>
      </c>
      <c r="E55" s="27" t="s">
        <v>157</v>
      </c>
      <c r="F55" s="30" t="s">
        <v>68</v>
      </c>
      <c r="G55" s="28">
        <f>34.1+8.3+2</f>
        <v>44.400000000000006</v>
      </c>
      <c r="H55" s="28">
        <f>34.1+8.3+2</f>
        <v>44.400000000000006</v>
      </c>
      <c r="I55" s="28">
        <f>34.1+8.3+2</f>
        <v>44.400000000000006</v>
      </c>
      <c r="J55" s="21"/>
      <c r="K55" s="21"/>
      <c r="L55" s="21"/>
      <c r="M55" s="21"/>
    </row>
    <row r="56" spans="1:13" s="29" customFormat="1" ht="63.75" x14ac:dyDescent="0.2">
      <c r="A56" s="53" t="s">
        <v>159</v>
      </c>
      <c r="B56" s="53">
        <v>900</v>
      </c>
      <c r="C56" s="19" t="s">
        <v>12</v>
      </c>
      <c r="D56" s="19" t="s">
        <v>61</v>
      </c>
      <c r="E56" s="19" t="s">
        <v>160</v>
      </c>
      <c r="F56" s="19"/>
      <c r="G56" s="20">
        <f>G57</f>
        <v>234.4</v>
      </c>
      <c r="H56" s="20">
        <f>H57</f>
        <v>234.4</v>
      </c>
      <c r="I56" s="20">
        <f>I57</f>
        <v>234.4</v>
      </c>
    </row>
    <row r="57" spans="1:13" ht="25.5" x14ac:dyDescent="0.2">
      <c r="A57" s="31" t="s">
        <v>76</v>
      </c>
      <c r="B57" s="26">
        <v>900</v>
      </c>
      <c r="C57" s="27" t="s">
        <v>12</v>
      </c>
      <c r="D57" s="27" t="s">
        <v>61</v>
      </c>
      <c r="E57" s="27" t="s">
        <v>160</v>
      </c>
      <c r="F57" s="30" t="s">
        <v>68</v>
      </c>
      <c r="G57" s="28">
        <v>234.4</v>
      </c>
      <c r="H57" s="28">
        <v>234.4</v>
      </c>
      <c r="I57" s="28">
        <v>234.4</v>
      </c>
    </row>
    <row r="58" spans="1:13" s="3" customFormat="1" ht="25.5" x14ac:dyDescent="0.2">
      <c r="A58" s="13" t="s">
        <v>5</v>
      </c>
      <c r="B58" s="49">
        <v>900</v>
      </c>
      <c r="C58" s="1" t="s">
        <v>16</v>
      </c>
      <c r="D58" s="1"/>
      <c r="E58" s="1"/>
      <c r="F58" s="1"/>
      <c r="G58" s="2">
        <f>G59</f>
        <v>4021.2000000000003</v>
      </c>
      <c r="H58" s="2">
        <f>H59</f>
        <v>4021.2000000000003</v>
      </c>
      <c r="I58" s="2">
        <f>I59</f>
        <v>4021.2000000000003</v>
      </c>
    </row>
    <row r="59" spans="1:13" s="9" customFormat="1" ht="38.25" x14ac:dyDescent="0.2">
      <c r="A59" s="11" t="s">
        <v>81</v>
      </c>
      <c r="B59" s="14">
        <v>900</v>
      </c>
      <c r="C59" s="8" t="s">
        <v>16</v>
      </c>
      <c r="D59" s="8" t="s">
        <v>26</v>
      </c>
      <c r="E59" s="8"/>
      <c r="F59" s="8"/>
      <c r="G59" s="4">
        <f>G60+G64+G66+G68</f>
        <v>4021.2000000000003</v>
      </c>
      <c r="H59" s="4">
        <f>H60+H64+H66+H68</f>
        <v>4021.2000000000003</v>
      </c>
      <c r="I59" s="4">
        <f>I60+I64+I66+I68</f>
        <v>4021.2000000000003</v>
      </c>
    </row>
    <row r="60" spans="1:13" ht="38.25" x14ac:dyDescent="0.2">
      <c r="A60" s="53" t="s">
        <v>162</v>
      </c>
      <c r="B60" s="51">
        <v>900</v>
      </c>
      <c r="C60" s="19" t="s">
        <v>16</v>
      </c>
      <c r="D60" s="19" t="s">
        <v>26</v>
      </c>
      <c r="E60" s="19" t="s">
        <v>161</v>
      </c>
      <c r="F60" s="19"/>
      <c r="G60" s="20">
        <f>G61+G62+G63</f>
        <v>3906.3</v>
      </c>
      <c r="H60" s="20">
        <f>H61+H62+H63</f>
        <v>3906.3</v>
      </c>
      <c r="I60" s="20">
        <f>I61+I62+I63</f>
        <v>3906.3</v>
      </c>
    </row>
    <row r="61" spans="1:13" s="29" customFormat="1" ht="51" customHeight="1" x14ac:dyDescent="0.2">
      <c r="A61" s="34" t="s">
        <v>66</v>
      </c>
      <c r="B61" s="36">
        <v>900</v>
      </c>
      <c r="C61" s="27" t="s">
        <v>16</v>
      </c>
      <c r="D61" s="27" t="s">
        <v>26</v>
      </c>
      <c r="E61" s="27" t="s">
        <v>161</v>
      </c>
      <c r="F61" s="30" t="s">
        <v>67</v>
      </c>
      <c r="G61" s="28">
        <f>3261.1+31.4</f>
        <v>3292.5</v>
      </c>
      <c r="H61" s="28">
        <f>3261.1+31.4</f>
        <v>3292.5</v>
      </c>
      <c r="I61" s="28">
        <f>3261.1+31.4</f>
        <v>3292.5</v>
      </c>
    </row>
    <row r="62" spans="1:13" s="29" customFormat="1" ht="25.5" x14ac:dyDescent="0.2">
      <c r="A62" s="31" t="s">
        <v>76</v>
      </c>
      <c r="B62" s="36">
        <v>900</v>
      </c>
      <c r="C62" s="27" t="s">
        <v>16</v>
      </c>
      <c r="D62" s="27" t="s">
        <v>26</v>
      </c>
      <c r="E62" s="27" t="s">
        <v>161</v>
      </c>
      <c r="F62" s="30" t="s">
        <v>68</v>
      </c>
      <c r="G62" s="28">
        <f>170.8+45+148.6+30+209</f>
        <v>603.4</v>
      </c>
      <c r="H62" s="28">
        <f>170.8+45+148.6+30+209</f>
        <v>603.4</v>
      </c>
      <c r="I62" s="28">
        <f>170.8+45+148.6+30+209</f>
        <v>603.4</v>
      </c>
    </row>
    <row r="63" spans="1:13" s="29" customFormat="1" x14ac:dyDescent="0.2">
      <c r="A63" s="31" t="s">
        <v>72</v>
      </c>
      <c r="B63" s="35">
        <v>900</v>
      </c>
      <c r="C63" s="27" t="s">
        <v>16</v>
      </c>
      <c r="D63" s="27" t="s">
        <v>26</v>
      </c>
      <c r="E63" s="27" t="s">
        <v>161</v>
      </c>
      <c r="F63" s="27" t="s">
        <v>73</v>
      </c>
      <c r="G63" s="28">
        <v>10.4</v>
      </c>
      <c r="H63" s="28">
        <v>10.4</v>
      </c>
      <c r="I63" s="28">
        <v>10.4</v>
      </c>
    </row>
    <row r="64" spans="1:13" s="12" customFormat="1" ht="25.5" x14ac:dyDescent="0.2">
      <c r="A64" s="17" t="s">
        <v>166</v>
      </c>
      <c r="B64" s="50">
        <v>900</v>
      </c>
      <c r="C64" s="19" t="s">
        <v>16</v>
      </c>
      <c r="D64" s="19" t="s">
        <v>26</v>
      </c>
      <c r="E64" s="19" t="s">
        <v>165</v>
      </c>
      <c r="F64" s="5"/>
      <c r="G64" s="6">
        <f>G65</f>
        <v>1</v>
      </c>
      <c r="H64" s="6">
        <f>H65</f>
        <v>1</v>
      </c>
      <c r="I64" s="6">
        <f>I65</f>
        <v>1</v>
      </c>
    </row>
    <row r="65" spans="1:9" s="29" customFormat="1" ht="25.5" x14ac:dyDescent="0.2">
      <c r="A65" s="31" t="s">
        <v>76</v>
      </c>
      <c r="B65" s="36">
        <v>900</v>
      </c>
      <c r="C65" s="27" t="s">
        <v>16</v>
      </c>
      <c r="D65" s="27" t="s">
        <v>26</v>
      </c>
      <c r="E65" s="27" t="s">
        <v>165</v>
      </c>
      <c r="F65" s="30" t="s">
        <v>68</v>
      </c>
      <c r="G65" s="28">
        <v>1</v>
      </c>
      <c r="H65" s="28">
        <v>1</v>
      </c>
      <c r="I65" s="28">
        <v>1</v>
      </c>
    </row>
    <row r="66" spans="1:9" s="12" customFormat="1" x14ac:dyDescent="0.2">
      <c r="A66" s="17" t="s">
        <v>167</v>
      </c>
      <c r="B66" s="50">
        <v>900</v>
      </c>
      <c r="C66" s="19" t="s">
        <v>16</v>
      </c>
      <c r="D66" s="19" t="s">
        <v>26</v>
      </c>
      <c r="E66" s="19" t="s">
        <v>168</v>
      </c>
      <c r="F66" s="5"/>
      <c r="G66" s="6">
        <f>G67</f>
        <v>80.900000000000006</v>
      </c>
      <c r="H66" s="6">
        <f>H67</f>
        <v>80.900000000000006</v>
      </c>
      <c r="I66" s="6">
        <f>I67</f>
        <v>80.900000000000006</v>
      </c>
    </row>
    <row r="67" spans="1:9" s="29" customFormat="1" ht="25.5" x14ac:dyDescent="0.2">
      <c r="A67" s="31" t="s">
        <v>76</v>
      </c>
      <c r="B67" s="36">
        <v>900</v>
      </c>
      <c r="C67" s="27" t="s">
        <v>16</v>
      </c>
      <c r="D67" s="27" t="s">
        <v>26</v>
      </c>
      <c r="E67" s="27" t="s">
        <v>168</v>
      </c>
      <c r="F67" s="30" t="s">
        <v>68</v>
      </c>
      <c r="G67" s="28">
        <v>80.900000000000006</v>
      </c>
      <c r="H67" s="28">
        <v>80.900000000000006</v>
      </c>
      <c r="I67" s="28">
        <v>80.900000000000006</v>
      </c>
    </row>
    <row r="68" spans="1:9" s="12" customFormat="1" ht="25.5" x14ac:dyDescent="0.2">
      <c r="A68" s="17" t="s">
        <v>169</v>
      </c>
      <c r="B68" s="50">
        <v>900</v>
      </c>
      <c r="C68" s="19" t="s">
        <v>16</v>
      </c>
      <c r="D68" s="19" t="s">
        <v>26</v>
      </c>
      <c r="E68" s="19" t="s">
        <v>170</v>
      </c>
      <c r="F68" s="5"/>
      <c r="G68" s="6">
        <f>G69</f>
        <v>33</v>
      </c>
      <c r="H68" s="6">
        <f>H69</f>
        <v>33</v>
      </c>
      <c r="I68" s="6">
        <f>I69</f>
        <v>33</v>
      </c>
    </row>
    <row r="69" spans="1:9" s="29" customFormat="1" x14ac:dyDescent="0.2">
      <c r="A69" s="31" t="s">
        <v>69</v>
      </c>
      <c r="B69" s="36">
        <v>900</v>
      </c>
      <c r="C69" s="27" t="s">
        <v>16</v>
      </c>
      <c r="D69" s="27" t="s">
        <v>26</v>
      </c>
      <c r="E69" s="19" t="s">
        <v>170</v>
      </c>
      <c r="F69" s="30" t="s">
        <v>70</v>
      </c>
      <c r="G69" s="28">
        <v>33</v>
      </c>
      <c r="H69" s="28">
        <v>33</v>
      </c>
      <c r="I69" s="28">
        <v>33</v>
      </c>
    </row>
    <row r="70" spans="1:9" s="3" customFormat="1" x14ac:dyDescent="0.2">
      <c r="A70" s="13" t="s">
        <v>27</v>
      </c>
      <c r="B70" s="81">
        <v>900</v>
      </c>
      <c r="C70" s="1" t="s">
        <v>18</v>
      </c>
      <c r="D70" s="1"/>
      <c r="E70" s="1"/>
      <c r="F70" s="82"/>
      <c r="G70" s="2">
        <f>G71</f>
        <v>670.9</v>
      </c>
      <c r="H70" s="2">
        <f t="shared" ref="H70:I70" si="7">H71</f>
        <v>670.9</v>
      </c>
      <c r="I70" s="2">
        <f t="shared" si="7"/>
        <v>670.9</v>
      </c>
    </row>
    <row r="71" spans="1:9" s="9" customFormat="1" x14ac:dyDescent="0.2">
      <c r="A71" s="11" t="s">
        <v>29</v>
      </c>
      <c r="B71" s="14">
        <v>900</v>
      </c>
      <c r="C71" s="8" t="s">
        <v>18</v>
      </c>
      <c r="D71" s="8" t="s">
        <v>23</v>
      </c>
      <c r="E71" s="8"/>
      <c r="F71" s="8"/>
      <c r="G71" s="4">
        <f>G72+G74</f>
        <v>670.9</v>
      </c>
      <c r="H71" s="4">
        <f t="shared" ref="H71:I71" si="8">H72+H74</f>
        <v>670.9</v>
      </c>
      <c r="I71" s="4">
        <f t="shared" si="8"/>
        <v>670.9</v>
      </c>
    </row>
    <row r="72" spans="1:9" ht="25.5" x14ac:dyDescent="0.2">
      <c r="A72" s="18" t="s">
        <v>172</v>
      </c>
      <c r="B72" s="22">
        <v>900</v>
      </c>
      <c r="C72" s="19" t="s">
        <v>18</v>
      </c>
      <c r="D72" s="19" t="s">
        <v>23</v>
      </c>
      <c r="E72" s="19" t="s">
        <v>171</v>
      </c>
      <c r="F72" s="19"/>
      <c r="G72" s="20">
        <f>G73</f>
        <v>75</v>
      </c>
      <c r="H72" s="20">
        <f>H73</f>
        <v>75</v>
      </c>
      <c r="I72" s="20">
        <f>I73</f>
        <v>75</v>
      </c>
    </row>
    <row r="73" spans="1:9" s="29" customFormat="1" ht="25.5" x14ac:dyDescent="0.2">
      <c r="A73" s="31" t="s">
        <v>76</v>
      </c>
      <c r="B73" s="35">
        <v>900</v>
      </c>
      <c r="C73" s="27" t="s">
        <v>18</v>
      </c>
      <c r="D73" s="27" t="s">
        <v>23</v>
      </c>
      <c r="E73" s="27" t="s">
        <v>171</v>
      </c>
      <c r="F73" s="27" t="s">
        <v>68</v>
      </c>
      <c r="G73" s="28">
        <v>75</v>
      </c>
      <c r="H73" s="28">
        <v>75</v>
      </c>
      <c r="I73" s="28">
        <v>75</v>
      </c>
    </row>
    <row r="74" spans="1:9" ht="25.5" x14ac:dyDescent="0.2">
      <c r="A74" s="18" t="s">
        <v>173</v>
      </c>
      <c r="B74" s="17">
        <v>900</v>
      </c>
      <c r="C74" s="19" t="s">
        <v>18</v>
      </c>
      <c r="D74" s="19" t="s">
        <v>23</v>
      </c>
      <c r="E74" s="19" t="s">
        <v>367</v>
      </c>
      <c r="F74" s="19"/>
      <c r="G74" s="20">
        <f>G75</f>
        <v>595.9</v>
      </c>
      <c r="H74" s="20">
        <f>H75</f>
        <v>595.9</v>
      </c>
      <c r="I74" s="20">
        <f>I75</f>
        <v>595.9</v>
      </c>
    </row>
    <row r="75" spans="1:9" s="29" customFormat="1" x14ac:dyDescent="0.2">
      <c r="A75" s="31" t="s">
        <v>72</v>
      </c>
      <c r="B75" s="26">
        <v>900</v>
      </c>
      <c r="C75" s="27" t="s">
        <v>18</v>
      </c>
      <c r="D75" s="27" t="s">
        <v>23</v>
      </c>
      <c r="E75" s="27" t="s">
        <v>367</v>
      </c>
      <c r="F75" s="30" t="s">
        <v>73</v>
      </c>
      <c r="G75" s="28">
        <v>595.9</v>
      </c>
      <c r="H75" s="28">
        <v>595.9</v>
      </c>
      <c r="I75" s="28">
        <v>595.9</v>
      </c>
    </row>
    <row r="76" spans="1:9" s="3" customFormat="1" x14ac:dyDescent="0.2">
      <c r="A76" s="13" t="s">
        <v>30</v>
      </c>
      <c r="B76" s="49">
        <v>900</v>
      </c>
      <c r="C76" s="1" t="s">
        <v>31</v>
      </c>
      <c r="D76" s="1"/>
      <c r="E76" s="1"/>
      <c r="F76" s="1"/>
      <c r="G76" s="2">
        <f>G77</f>
        <v>55932.9</v>
      </c>
      <c r="H76" s="2">
        <f>H77</f>
        <v>3562.6</v>
      </c>
      <c r="I76" s="2">
        <f>I77</f>
        <v>32091.3</v>
      </c>
    </row>
    <row r="77" spans="1:9" s="9" customFormat="1" x14ac:dyDescent="0.2">
      <c r="A77" s="11" t="s">
        <v>32</v>
      </c>
      <c r="B77" s="14">
        <v>900</v>
      </c>
      <c r="C77" s="8" t="s">
        <v>31</v>
      </c>
      <c r="D77" s="8" t="s">
        <v>12</v>
      </c>
      <c r="E77" s="8"/>
      <c r="F77" s="8"/>
      <c r="G77" s="4">
        <f>G80+G83+G78</f>
        <v>55932.9</v>
      </c>
      <c r="H77" s="4">
        <f t="shared" ref="H77:I77" si="9">H80+H83+H78</f>
        <v>3562.6</v>
      </c>
      <c r="I77" s="4">
        <f t="shared" si="9"/>
        <v>32091.3</v>
      </c>
    </row>
    <row r="78" spans="1:9" ht="25.5" x14ac:dyDescent="0.2">
      <c r="A78" s="18" t="s">
        <v>395</v>
      </c>
      <c r="B78" s="18">
        <v>900</v>
      </c>
      <c r="C78" s="19" t="s">
        <v>31</v>
      </c>
      <c r="D78" s="19" t="s">
        <v>12</v>
      </c>
      <c r="E78" s="19" t="s">
        <v>396</v>
      </c>
      <c r="F78" s="19"/>
      <c r="G78" s="20">
        <f>G79</f>
        <v>200</v>
      </c>
      <c r="H78" s="20">
        <f>H79</f>
        <v>0</v>
      </c>
      <c r="I78" s="20">
        <f>I79</f>
        <v>0</v>
      </c>
    </row>
    <row r="79" spans="1:9" s="29" customFormat="1" ht="25.5" x14ac:dyDescent="0.2">
      <c r="A79" s="31" t="s">
        <v>76</v>
      </c>
      <c r="B79" s="31">
        <v>900</v>
      </c>
      <c r="C79" s="27" t="s">
        <v>31</v>
      </c>
      <c r="D79" s="27" t="s">
        <v>12</v>
      </c>
      <c r="E79" s="27" t="s">
        <v>396</v>
      </c>
      <c r="F79" s="30" t="s">
        <v>68</v>
      </c>
      <c r="G79" s="28">
        <v>200</v>
      </c>
      <c r="H79" s="28">
        <v>0</v>
      </c>
      <c r="I79" s="28">
        <v>0</v>
      </c>
    </row>
    <row r="80" spans="1:9" x14ac:dyDescent="0.2">
      <c r="A80" s="18" t="s">
        <v>177</v>
      </c>
      <c r="B80" s="22">
        <v>900</v>
      </c>
      <c r="C80" s="19" t="s">
        <v>31</v>
      </c>
      <c r="D80" s="19" t="s">
        <v>12</v>
      </c>
      <c r="E80" s="19" t="s">
        <v>176</v>
      </c>
      <c r="F80" s="19"/>
      <c r="G80" s="20">
        <f>G81+G82</f>
        <v>23390.400000000001</v>
      </c>
      <c r="H80" s="20">
        <f t="shared" ref="H80:I80" si="10">H81+H82</f>
        <v>1681.4</v>
      </c>
      <c r="I80" s="20">
        <f t="shared" si="10"/>
        <v>15919</v>
      </c>
    </row>
    <row r="81" spans="1:13" s="29" customFormat="1" ht="25.5" x14ac:dyDescent="0.2">
      <c r="A81" s="31" t="s">
        <v>76</v>
      </c>
      <c r="B81" s="36">
        <v>900</v>
      </c>
      <c r="C81" s="27" t="s">
        <v>31</v>
      </c>
      <c r="D81" s="27" t="s">
        <v>12</v>
      </c>
      <c r="E81" s="27" t="s">
        <v>176</v>
      </c>
      <c r="F81" s="30" t="s">
        <v>68</v>
      </c>
      <c r="G81" s="28">
        <f>380.9+16815.6</f>
        <v>17196.5</v>
      </c>
      <c r="H81" s="28">
        <f>20.5+1192.8</f>
        <v>1213.3</v>
      </c>
      <c r="I81" s="28">
        <f>134.1+11880.2</f>
        <v>12014.300000000001</v>
      </c>
    </row>
    <row r="82" spans="1:13" s="29" customFormat="1" ht="25.5" x14ac:dyDescent="0.2">
      <c r="A82" s="31" t="s">
        <v>83</v>
      </c>
      <c r="B82" s="35">
        <v>900</v>
      </c>
      <c r="C82" s="27" t="s">
        <v>31</v>
      </c>
      <c r="D82" s="27" t="s">
        <v>12</v>
      </c>
      <c r="E82" s="27" t="s">
        <v>176</v>
      </c>
      <c r="F82" s="27" t="s">
        <v>71</v>
      </c>
      <c r="G82" s="28">
        <f>6393.9-200</f>
        <v>6193.9</v>
      </c>
      <c r="H82" s="28">
        <v>468.1</v>
      </c>
      <c r="I82" s="28">
        <v>3904.7</v>
      </c>
    </row>
    <row r="83" spans="1:13" x14ac:dyDescent="0.2">
      <c r="A83" s="18" t="s">
        <v>179</v>
      </c>
      <c r="B83" s="22">
        <v>900</v>
      </c>
      <c r="C83" s="19" t="s">
        <v>31</v>
      </c>
      <c r="D83" s="19" t="s">
        <v>12</v>
      </c>
      <c r="E83" s="27" t="s">
        <v>178</v>
      </c>
      <c r="F83" s="19"/>
      <c r="G83" s="20">
        <f>G85+G84</f>
        <v>32342.5</v>
      </c>
      <c r="H83" s="20">
        <f t="shared" ref="H83:I83" si="11">H85+H84</f>
        <v>1881.1999999999998</v>
      </c>
      <c r="I83" s="20">
        <f t="shared" si="11"/>
        <v>16172.3</v>
      </c>
    </row>
    <row r="84" spans="1:13" s="29" customFormat="1" ht="25.5" x14ac:dyDescent="0.2">
      <c r="A84" s="31" t="s">
        <v>76</v>
      </c>
      <c r="B84" s="22">
        <v>900</v>
      </c>
      <c r="C84" s="19" t="s">
        <v>31</v>
      </c>
      <c r="D84" s="19" t="s">
        <v>12</v>
      </c>
      <c r="E84" s="27" t="s">
        <v>178</v>
      </c>
      <c r="F84" s="27" t="s">
        <v>68</v>
      </c>
      <c r="G84" s="28">
        <f>19742.5</f>
        <v>19742.5</v>
      </c>
      <c r="H84" s="28">
        <v>1313.1</v>
      </c>
      <c r="I84" s="28">
        <v>10187.9</v>
      </c>
    </row>
    <row r="85" spans="1:13" s="29" customFormat="1" ht="25.5" x14ac:dyDescent="0.2">
      <c r="A85" s="31" t="s">
        <v>83</v>
      </c>
      <c r="B85" s="22">
        <v>900</v>
      </c>
      <c r="C85" s="19" t="s">
        <v>31</v>
      </c>
      <c r="D85" s="19" t="s">
        <v>12</v>
      </c>
      <c r="E85" s="27" t="s">
        <v>178</v>
      </c>
      <c r="F85" s="27" t="s">
        <v>71</v>
      </c>
      <c r="G85" s="28">
        <f>6400+6200</f>
        <v>12600</v>
      </c>
      <c r="H85" s="28">
        <v>568.1</v>
      </c>
      <c r="I85" s="28">
        <v>5984.4</v>
      </c>
    </row>
    <row r="86" spans="1:13" s="3" customFormat="1" x14ac:dyDescent="0.2">
      <c r="A86" s="13" t="s">
        <v>37</v>
      </c>
      <c r="B86" s="49">
        <v>900</v>
      </c>
      <c r="C86" s="1" t="s">
        <v>19</v>
      </c>
      <c r="D86" s="1"/>
      <c r="E86" s="1"/>
      <c r="F86" s="1"/>
      <c r="G86" s="2">
        <f t="shared" ref="G86:I87" si="12">G87</f>
        <v>148.69999999999999</v>
      </c>
      <c r="H86" s="2">
        <f t="shared" si="12"/>
        <v>148.69999999999999</v>
      </c>
      <c r="I86" s="2">
        <f t="shared" si="12"/>
        <v>148.69999999999999</v>
      </c>
    </row>
    <row r="87" spans="1:13" s="9" customFormat="1" x14ac:dyDescent="0.2">
      <c r="A87" s="11" t="s">
        <v>40</v>
      </c>
      <c r="B87" s="14">
        <v>900</v>
      </c>
      <c r="C87" s="8" t="s">
        <v>19</v>
      </c>
      <c r="D87" s="8" t="s">
        <v>19</v>
      </c>
      <c r="E87" s="8"/>
      <c r="F87" s="8"/>
      <c r="G87" s="4">
        <f t="shared" si="12"/>
        <v>148.69999999999999</v>
      </c>
      <c r="H87" s="4">
        <f t="shared" si="12"/>
        <v>148.69999999999999</v>
      </c>
      <c r="I87" s="4">
        <f t="shared" si="12"/>
        <v>148.69999999999999</v>
      </c>
    </row>
    <row r="88" spans="1:13" ht="25.5" x14ac:dyDescent="0.2">
      <c r="A88" s="18" t="s">
        <v>181</v>
      </c>
      <c r="B88" s="22">
        <v>900</v>
      </c>
      <c r="C88" s="19" t="s">
        <v>19</v>
      </c>
      <c r="D88" s="19" t="s">
        <v>19</v>
      </c>
      <c r="E88" s="19" t="s">
        <v>180</v>
      </c>
      <c r="F88" s="19"/>
      <c r="G88" s="20">
        <f>G89+G90</f>
        <v>148.69999999999999</v>
      </c>
      <c r="H88" s="20">
        <f>H89+H90</f>
        <v>148.69999999999999</v>
      </c>
      <c r="I88" s="20">
        <f>I89+I90</f>
        <v>148.69999999999999</v>
      </c>
    </row>
    <row r="89" spans="1:13" s="29" customFormat="1" ht="25.5" x14ac:dyDescent="0.2">
      <c r="A89" s="31" t="s">
        <v>76</v>
      </c>
      <c r="B89" s="35">
        <v>900</v>
      </c>
      <c r="C89" s="27" t="s">
        <v>19</v>
      </c>
      <c r="D89" s="27" t="s">
        <v>19</v>
      </c>
      <c r="E89" s="27" t="s">
        <v>180</v>
      </c>
      <c r="F89" s="30" t="s">
        <v>68</v>
      </c>
      <c r="G89" s="28">
        <f>20+45+24+23</f>
        <v>112</v>
      </c>
      <c r="H89" s="28">
        <f>20+45+24+23</f>
        <v>112</v>
      </c>
      <c r="I89" s="28">
        <f>20+45+24+23</f>
        <v>112</v>
      </c>
      <c r="J89" s="21"/>
      <c r="K89" s="21"/>
      <c r="L89" s="21"/>
      <c r="M89" s="21"/>
    </row>
    <row r="90" spans="1:13" s="29" customFormat="1" x14ac:dyDescent="0.2">
      <c r="A90" s="31" t="s">
        <v>69</v>
      </c>
      <c r="B90" s="35">
        <v>900</v>
      </c>
      <c r="C90" s="27" t="s">
        <v>19</v>
      </c>
      <c r="D90" s="27" t="s">
        <v>19</v>
      </c>
      <c r="E90" s="27" t="s">
        <v>180</v>
      </c>
      <c r="F90" s="30" t="s">
        <v>70</v>
      </c>
      <c r="G90" s="28">
        <v>36.700000000000003</v>
      </c>
      <c r="H90" s="28">
        <v>36.700000000000003</v>
      </c>
      <c r="I90" s="28">
        <v>36.700000000000003</v>
      </c>
      <c r="J90" s="21"/>
      <c r="K90" s="21"/>
      <c r="L90" s="21"/>
      <c r="M90" s="21"/>
    </row>
    <row r="91" spans="1:13" s="3" customFormat="1" x14ac:dyDescent="0.2">
      <c r="A91" s="13" t="s">
        <v>52</v>
      </c>
      <c r="B91" s="49">
        <v>900</v>
      </c>
      <c r="C91" s="1" t="s">
        <v>51</v>
      </c>
      <c r="D91" s="1"/>
      <c r="E91" s="1"/>
      <c r="F91" s="1"/>
      <c r="G91" s="2">
        <f>G92+G105</f>
        <v>238884.8</v>
      </c>
      <c r="H91" s="2">
        <f>H92+H105</f>
        <v>219115.1</v>
      </c>
      <c r="I91" s="2">
        <f>I92+I105</f>
        <v>154614.9</v>
      </c>
    </row>
    <row r="92" spans="1:13" s="9" customFormat="1" x14ac:dyDescent="0.2">
      <c r="A92" s="11" t="s">
        <v>55</v>
      </c>
      <c r="B92" s="14">
        <v>900</v>
      </c>
      <c r="C92" s="8" t="s">
        <v>51</v>
      </c>
      <c r="D92" s="8" t="s">
        <v>16</v>
      </c>
      <c r="E92" s="8"/>
      <c r="F92" s="8"/>
      <c r="G92" s="4">
        <f>G95+G101+G93+G99+G103+G97</f>
        <v>238769.9</v>
      </c>
      <c r="H92" s="4">
        <f t="shared" ref="H92:I92" si="13">H95+H101+H93+H99+H103+H97</f>
        <v>219000.2</v>
      </c>
      <c r="I92" s="4">
        <f t="shared" si="13"/>
        <v>154500</v>
      </c>
    </row>
    <row r="93" spans="1:13" ht="52.5" customHeight="1" x14ac:dyDescent="0.2">
      <c r="A93" s="18" t="s">
        <v>393</v>
      </c>
      <c r="B93" s="18">
        <v>900</v>
      </c>
      <c r="C93" s="19" t="s">
        <v>51</v>
      </c>
      <c r="D93" s="19" t="s">
        <v>16</v>
      </c>
      <c r="E93" s="19" t="s">
        <v>392</v>
      </c>
      <c r="F93" s="19"/>
      <c r="G93" s="20">
        <f>G94</f>
        <v>1190.0999999999999</v>
      </c>
      <c r="H93" s="20">
        <f>H94</f>
        <v>0</v>
      </c>
      <c r="I93" s="20">
        <f>I94</f>
        <v>1190.0999999999999</v>
      </c>
    </row>
    <row r="94" spans="1:13" ht="25.5" x14ac:dyDescent="0.2">
      <c r="A94" s="31" t="s">
        <v>83</v>
      </c>
      <c r="B94" s="31">
        <v>900</v>
      </c>
      <c r="C94" s="27" t="s">
        <v>51</v>
      </c>
      <c r="D94" s="27" t="s">
        <v>16</v>
      </c>
      <c r="E94" s="27" t="s">
        <v>392</v>
      </c>
      <c r="F94" s="27" t="s">
        <v>71</v>
      </c>
      <c r="G94" s="28">
        <v>1190.0999999999999</v>
      </c>
      <c r="H94" s="28">
        <v>0</v>
      </c>
      <c r="I94" s="28">
        <v>1190.0999999999999</v>
      </c>
    </row>
    <row r="95" spans="1:13" ht="63.75" x14ac:dyDescent="0.2">
      <c r="A95" s="18" t="s">
        <v>184</v>
      </c>
      <c r="B95" s="22">
        <v>900</v>
      </c>
      <c r="C95" s="19" t="s">
        <v>51</v>
      </c>
      <c r="D95" s="19" t="s">
        <v>16</v>
      </c>
      <c r="E95" s="19" t="s">
        <v>90</v>
      </c>
      <c r="F95" s="19"/>
      <c r="G95" s="20">
        <f>G96</f>
        <v>2380.1</v>
      </c>
      <c r="H95" s="20">
        <f>H96</f>
        <v>3570.2000000000003</v>
      </c>
      <c r="I95" s="20">
        <f>I96</f>
        <v>2380.1</v>
      </c>
    </row>
    <row r="96" spans="1:13" s="29" customFormat="1" ht="25.5" x14ac:dyDescent="0.2">
      <c r="A96" s="31" t="s">
        <v>83</v>
      </c>
      <c r="B96" s="31">
        <v>900</v>
      </c>
      <c r="C96" s="27" t="s">
        <v>51</v>
      </c>
      <c r="D96" s="27" t="s">
        <v>16</v>
      </c>
      <c r="E96" s="27" t="s">
        <v>90</v>
      </c>
      <c r="F96" s="27" t="s">
        <v>71</v>
      </c>
      <c r="G96" s="28">
        <f>1485.2+894.9</f>
        <v>2380.1</v>
      </c>
      <c r="H96" s="28">
        <f>3578.4-8.2</f>
        <v>3570.2000000000003</v>
      </c>
      <c r="I96" s="28">
        <f>3746.1-1366</f>
        <v>2380.1</v>
      </c>
      <c r="J96" s="21"/>
      <c r="K96" s="21"/>
      <c r="L96" s="21"/>
      <c r="M96" s="21"/>
    </row>
    <row r="97" spans="1:13" ht="25.5" x14ac:dyDescent="0.2">
      <c r="A97" s="18" t="s">
        <v>363</v>
      </c>
      <c r="B97" s="22">
        <v>900</v>
      </c>
      <c r="C97" s="19" t="s">
        <v>51</v>
      </c>
      <c r="D97" s="19" t="s">
        <v>16</v>
      </c>
      <c r="E97" s="19" t="s">
        <v>362</v>
      </c>
      <c r="F97" s="19"/>
      <c r="G97" s="20">
        <f>G98</f>
        <v>10990.7</v>
      </c>
      <c r="H97" s="20">
        <f>H98</f>
        <v>0</v>
      </c>
      <c r="I97" s="20">
        <f>I98</f>
        <v>0</v>
      </c>
    </row>
    <row r="98" spans="1:13" s="29" customFormat="1" ht="25.5" x14ac:dyDescent="0.2">
      <c r="A98" s="31" t="s">
        <v>83</v>
      </c>
      <c r="B98" s="31">
        <v>900</v>
      </c>
      <c r="C98" s="27" t="s">
        <v>51</v>
      </c>
      <c r="D98" s="27" t="s">
        <v>16</v>
      </c>
      <c r="E98" s="27" t="s">
        <v>362</v>
      </c>
      <c r="F98" s="27" t="s">
        <v>71</v>
      </c>
      <c r="G98" s="28">
        <v>10990.7</v>
      </c>
      <c r="H98" s="28">
        <v>0</v>
      </c>
      <c r="I98" s="28">
        <v>0</v>
      </c>
      <c r="J98" s="21"/>
      <c r="K98" s="21"/>
      <c r="L98" s="21"/>
      <c r="M98" s="21"/>
    </row>
    <row r="99" spans="1:13" ht="38.25" x14ac:dyDescent="0.2">
      <c r="A99" s="18" t="s">
        <v>351</v>
      </c>
      <c r="B99" s="22">
        <v>900</v>
      </c>
      <c r="C99" s="19" t="s">
        <v>51</v>
      </c>
      <c r="D99" s="19" t="s">
        <v>16</v>
      </c>
      <c r="E99" s="19" t="s">
        <v>175</v>
      </c>
      <c r="F99" s="19"/>
      <c r="G99" s="20">
        <f>G100</f>
        <v>940</v>
      </c>
      <c r="H99" s="20">
        <f>H100</f>
        <v>203.7</v>
      </c>
      <c r="I99" s="20">
        <f>I100</f>
        <v>435.9</v>
      </c>
    </row>
    <row r="100" spans="1:13" s="29" customFormat="1" ht="25.5" x14ac:dyDescent="0.2">
      <c r="A100" s="31" t="s">
        <v>83</v>
      </c>
      <c r="B100" s="35">
        <v>900</v>
      </c>
      <c r="C100" s="27" t="s">
        <v>51</v>
      </c>
      <c r="D100" s="27" t="s">
        <v>16</v>
      </c>
      <c r="E100" s="27" t="s">
        <v>175</v>
      </c>
      <c r="F100" s="27" t="s">
        <v>71</v>
      </c>
      <c r="G100" s="28">
        <v>940</v>
      </c>
      <c r="H100" s="28">
        <v>203.7</v>
      </c>
      <c r="I100" s="28">
        <v>435.9</v>
      </c>
      <c r="J100" s="21"/>
      <c r="K100" s="21"/>
      <c r="L100" s="21"/>
      <c r="M100" s="21"/>
    </row>
    <row r="101" spans="1:13" ht="38.25" x14ac:dyDescent="0.2">
      <c r="A101" s="18" t="s">
        <v>349</v>
      </c>
      <c r="B101" s="22">
        <v>900</v>
      </c>
      <c r="C101" s="19" t="s">
        <v>51</v>
      </c>
      <c r="D101" s="19" t="s">
        <v>16</v>
      </c>
      <c r="E101" s="19" t="s">
        <v>136</v>
      </c>
      <c r="F101" s="19"/>
      <c r="G101" s="20">
        <f>G102</f>
        <v>1941.1</v>
      </c>
      <c r="H101" s="20">
        <f>H102</f>
        <v>369.2</v>
      </c>
      <c r="I101" s="20">
        <f>I102</f>
        <v>1005.4</v>
      </c>
    </row>
    <row r="102" spans="1:13" s="29" customFormat="1" x14ac:dyDescent="0.2">
      <c r="A102" s="87" t="s">
        <v>69</v>
      </c>
      <c r="B102" s="35">
        <v>900</v>
      </c>
      <c r="C102" s="27" t="s">
        <v>51</v>
      </c>
      <c r="D102" s="27" t="s">
        <v>16</v>
      </c>
      <c r="E102" s="27" t="s">
        <v>136</v>
      </c>
      <c r="F102" s="33">
        <v>300</v>
      </c>
      <c r="G102" s="28">
        <v>1941.1</v>
      </c>
      <c r="H102" s="28">
        <v>369.2</v>
      </c>
      <c r="I102" s="28">
        <v>1005.4</v>
      </c>
      <c r="J102" s="21"/>
      <c r="K102" s="21"/>
      <c r="L102" s="21"/>
      <c r="M102" s="21"/>
    </row>
    <row r="103" spans="1:13" ht="25.5" x14ac:dyDescent="0.2">
      <c r="A103" s="18" t="s">
        <v>174</v>
      </c>
      <c r="B103" s="22">
        <v>900</v>
      </c>
      <c r="C103" s="19" t="s">
        <v>51</v>
      </c>
      <c r="D103" s="19" t="s">
        <v>16</v>
      </c>
      <c r="E103" s="19" t="s">
        <v>91</v>
      </c>
      <c r="F103" s="19"/>
      <c r="G103" s="20">
        <f t="shared" ref="G103:I103" si="14">G104</f>
        <v>221327.9</v>
      </c>
      <c r="H103" s="20">
        <f t="shared" si="14"/>
        <v>214857.1</v>
      </c>
      <c r="I103" s="20">
        <f t="shared" si="14"/>
        <v>149488.5</v>
      </c>
    </row>
    <row r="104" spans="1:13" s="29" customFormat="1" x14ac:dyDescent="0.2">
      <c r="A104" s="31" t="s">
        <v>69</v>
      </c>
      <c r="B104" s="35">
        <v>900</v>
      </c>
      <c r="C104" s="27" t="s">
        <v>51</v>
      </c>
      <c r="D104" s="27" t="s">
        <v>16</v>
      </c>
      <c r="E104" s="27" t="s">
        <v>91</v>
      </c>
      <c r="F104" s="27" t="s">
        <v>70</v>
      </c>
      <c r="G104" s="28">
        <v>221327.9</v>
      </c>
      <c r="H104" s="28">
        <v>214857.1</v>
      </c>
      <c r="I104" s="28">
        <v>149488.5</v>
      </c>
      <c r="J104" s="21"/>
      <c r="K104" s="21"/>
      <c r="L104" s="21"/>
      <c r="M104" s="21"/>
    </row>
    <row r="105" spans="1:13" s="9" customFormat="1" x14ac:dyDescent="0.2">
      <c r="A105" s="11" t="s">
        <v>57</v>
      </c>
      <c r="B105" s="14">
        <v>900</v>
      </c>
      <c r="C105" s="8" t="s">
        <v>51</v>
      </c>
      <c r="D105" s="8" t="s">
        <v>50</v>
      </c>
      <c r="E105" s="8"/>
      <c r="F105" s="8"/>
      <c r="G105" s="4">
        <f>G106</f>
        <v>114.89999999999999</v>
      </c>
      <c r="H105" s="4">
        <f>H106</f>
        <v>114.89999999999999</v>
      </c>
      <c r="I105" s="4">
        <f>I106</f>
        <v>114.89999999999999</v>
      </c>
    </row>
    <row r="106" spans="1:13" x14ac:dyDescent="0.2">
      <c r="A106" s="18" t="s">
        <v>190</v>
      </c>
      <c r="B106" s="22">
        <v>900</v>
      </c>
      <c r="C106" s="19" t="s">
        <v>51</v>
      </c>
      <c r="D106" s="19" t="s">
        <v>50</v>
      </c>
      <c r="E106" s="19" t="s">
        <v>189</v>
      </c>
      <c r="F106" s="19"/>
      <c r="G106" s="20">
        <f>G108+G107</f>
        <v>114.89999999999999</v>
      </c>
      <c r="H106" s="20">
        <f>H108+H107</f>
        <v>114.89999999999999</v>
      </c>
      <c r="I106" s="20">
        <f>I108+I107</f>
        <v>114.89999999999999</v>
      </c>
    </row>
    <row r="107" spans="1:13" s="29" customFormat="1" ht="25.5" x14ac:dyDescent="0.2">
      <c r="A107" s="31" t="s">
        <v>76</v>
      </c>
      <c r="B107" s="26">
        <v>900</v>
      </c>
      <c r="C107" s="27" t="s">
        <v>51</v>
      </c>
      <c r="D107" s="27" t="s">
        <v>50</v>
      </c>
      <c r="E107" s="27" t="s">
        <v>189</v>
      </c>
      <c r="F107" s="30" t="s">
        <v>68</v>
      </c>
      <c r="G107" s="28">
        <v>0.6</v>
      </c>
      <c r="H107" s="28">
        <v>0.6</v>
      </c>
      <c r="I107" s="28">
        <v>0.6</v>
      </c>
    </row>
    <row r="108" spans="1:13" s="29" customFormat="1" x14ac:dyDescent="0.2">
      <c r="A108" s="31" t="s">
        <v>69</v>
      </c>
      <c r="B108" s="35">
        <v>900</v>
      </c>
      <c r="C108" s="27" t="s">
        <v>51</v>
      </c>
      <c r="D108" s="27" t="s">
        <v>50</v>
      </c>
      <c r="E108" s="27" t="s">
        <v>189</v>
      </c>
      <c r="F108" s="27" t="s">
        <v>70</v>
      </c>
      <c r="G108" s="28">
        <v>114.3</v>
      </c>
      <c r="H108" s="28">
        <v>114.3</v>
      </c>
      <c r="I108" s="28">
        <v>114.3</v>
      </c>
    </row>
    <row r="109" spans="1:13" s="3" customFormat="1" ht="25.5" x14ac:dyDescent="0.2">
      <c r="A109" s="13" t="s">
        <v>20</v>
      </c>
      <c r="B109" s="49">
        <v>900</v>
      </c>
      <c r="C109" s="1" t="s">
        <v>61</v>
      </c>
      <c r="D109" s="1"/>
      <c r="E109" s="1"/>
      <c r="F109" s="1"/>
      <c r="G109" s="2">
        <f t="shared" ref="G109:I111" si="15">G110</f>
        <v>3454.1</v>
      </c>
      <c r="H109" s="2">
        <f t="shared" si="15"/>
        <v>3454.1</v>
      </c>
      <c r="I109" s="2">
        <f t="shared" si="15"/>
        <v>3454.1</v>
      </c>
    </row>
    <row r="110" spans="1:13" s="9" customFormat="1" ht="25.5" x14ac:dyDescent="0.2">
      <c r="A110" s="11" t="s">
        <v>3</v>
      </c>
      <c r="B110" s="14">
        <v>900</v>
      </c>
      <c r="C110" s="8" t="s">
        <v>61</v>
      </c>
      <c r="D110" s="8" t="s">
        <v>12</v>
      </c>
      <c r="E110" s="8"/>
      <c r="F110" s="8"/>
      <c r="G110" s="4">
        <f t="shared" si="15"/>
        <v>3454.1</v>
      </c>
      <c r="H110" s="4">
        <f t="shared" si="15"/>
        <v>3454.1</v>
      </c>
      <c r="I110" s="4">
        <f t="shared" si="15"/>
        <v>3454.1</v>
      </c>
    </row>
    <row r="111" spans="1:13" ht="25.5" x14ac:dyDescent="0.2">
      <c r="A111" s="18" t="s">
        <v>192</v>
      </c>
      <c r="B111" s="22">
        <v>900</v>
      </c>
      <c r="C111" s="19" t="s">
        <v>61</v>
      </c>
      <c r="D111" s="19" t="s">
        <v>12</v>
      </c>
      <c r="E111" s="19" t="s">
        <v>191</v>
      </c>
      <c r="F111" s="19"/>
      <c r="G111" s="20">
        <f t="shared" si="15"/>
        <v>3454.1</v>
      </c>
      <c r="H111" s="20">
        <f t="shared" si="15"/>
        <v>3454.1</v>
      </c>
      <c r="I111" s="20">
        <f t="shared" si="15"/>
        <v>3454.1</v>
      </c>
    </row>
    <row r="112" spans="1:13" s="29" customFormat="1" x14ac:dyDescent="0.2">
      <c r="A112" s="31" t="s">
        <v>74</v>
      </c>
      <c r="B112" s="35">
        <v>900</v>
      </c>
      <c r="C112" s="27" t="s">
        <v>61</v>
      </c>
      <c r="D112" s="27" t="s">
        <v>12</v>
      </c>
      <c r="E112" s="19" t="s">
        <v>191</v>
      </c>
      <c r="F112" s="27" t="s">
        <v>75</v>
      </c>
      <c r="G112" s="28">
        <v>3454.1</v>
      </c>
      <c r="H112" s="28">
        <v>3454.1</v>
      </c>
      <c r="I112" s="28">
        <v>3454.1</v>
      </c>
      <c r="J112" s="21"/>
      <c r="K112" s="21"/>
      <c r="L112" s="21"/>
      <c r="M112" s="21"/>
    </row>
    <row r="113" spans="1:16" x14ac:dyDescent="0.2">
      <c r="A113" s="18" t="s">
        <v>382</v>
      </c>
      <c r="B113" s="22">
        <v>900</v>
      </c>
      <c r="C113" s="19" t="s">
        <v>383</v>
      </c>
      <c r="D113" s="19"/>
      <c r="E113" s="19"/>
      <c r="F113" s="19"/>
      <c r="G113" s="20"/>
      <c r="H113" s="20">
        <f t="shared" ref="H113:I115" si="16">H114</f>
        <v>19446.400000000001</v>
      </c>
      <c r="I113" s="20">
        <f t="shared" si="16"/>
        <v>40381.799999999996</v>
      </c>
    </row>
    <row r="114" spans="1:16" x14ac:dyDescent="0.2">
      <c r="A114" s="18" t="s">
        <v>382</v>
      </c>
      <c r="B114" s="22">
        <v>900</v>
      </c>
      <c r="C114" s="19" t="s">
        <v>383</v>
      </c>
      <c r="D114" s="16" t="s">
        <v>383</v>
      </c>
      <c r="E114" s="19"/>
      <c r="F114" s="19"/>
      <c r="G114" s="20"/>
      <c r="H114" s="20">
        <f t="shared" si="16"/>
        <v>19446.400000000001</v>
      </c>
      <c r="I114" s="20">
        <f t="shared" si="16"/>
        <v>40381.799999999996</v>
      </c>
    </row>
    <row r="115" spans="1:16" x14ac:dyDescent="0.2">
      <c r="A115" s="18" t="s">
        <v>382</v>
      </c>
      <c r="B115" s="22">
        <v>900</v>
      </c>
      <c r="C115" s="19" t="s">
        <v>383</v>
      </c>
      <c r="D115" s="19" t="s">
        <v>383</v>
      </c>
      <c r="E115" s="19" t="s">
        <v>384</v>
      </c>
      <c r="F115" s="19"/>
      <c r="G115" s="20"/>
      <c r="H115" s="20">
        <f t="shared" si="16"/>
        <v>19446.400000000001</v>
      </c>
      <c r="I115" s="20">
        <f t="shared" si="16"/>
        <v>40381.799999999996</v>
      </c>
    </row>
    <row r="116" spans="1:16" s="29" customFormat="1" x14ac:dyDescent="0.2">
      <c r="A116" s="31" t="s">
        <v>382</v>
      </c>
      <c r="B116" s="35">
        <v>900</v>
      </c>
      <c r="C116" s="27" t="s">
        <v>383</v>
      </c>
      <c r="D116" s="27" t="s">
        <v>383</v>
      </c>
      <c r="E116" s="19" t="s">
        <v>384</v>
      </c>
      <c r="F116" s="27" t="s">
        <v>73</v>
      </c>
      <c r="G116" s="28">
        <v>0</v>
      </c>
      <c r="H116" s="28">
        <f>19136.9+309.5</f>
        <v>19446.400000000001</v>
      </c>
      <c r="I116" s="28">
        <f>39722.6+659.2</f>
        <v>40381.799999999996</v>
      </c>
      <c r="K116" s="21"/>
      <c r="L116" s="21"/>
      <c r="M116" s="21"/>
      <c r="N116" s="21"/>
      <c r="O116" s="21"/>
      <c r="P116" s="21"/>
    </row>
    <row r="117" spans="1:16" s="9" customFormat="1" ht="38.25" x14ac:dyDescent="0.2">
      <c r="A117" s="47" t="s">
        <v>34</v>
      </c>
      <c r="B117" s="44">
        <v>904</v>
      </c>
      <c r="C117" s="48"/>
      <c r="D117" s="48"/>
      <c r="E117" s="48"/>
      <c r="F117" s="48"/>
      <c r="G117" s="46">
        <f>G118+G127</f>
        <v>56372.5</v>
      </c>
      <c r="H117" s="46">
        <f>H118+H127</f>
        <v>51072.5</v>
      </c>
      <c r="I117" s="46">
        <f>I118+I127</f>
        <v>51072.5</v>
      </c>
      <c r="J117" s="72"/>
      <c r="K117" s="72"/>
    </row>
    <row r="118" spans="1:16" s="3" customFormat="1" x14ac:dyDescent="0.2">
      <c r="A118" s="13" t="s">
        <v>37</v>
      </c>
      <c r="B118" s="49">
        <v>904</v>
      </c>
      <c r="C118" s="1" t="s">
        <v>19</v>
      </c>
      <c r="D118" s="1"/>
      <c r="E118" s="1"/>
      <c r="F118" s="1"/>
      <c r="G118" s="2">
        <f>G119+G124</f>
        <v>19863.799999999996</v>
      </c>
      <c r="H118" s="2">
        <f>H119+H124</f>
        <v>19863.799999999996</v>
      </c>
      <c r="I118" s="2">
        <f>I119+I124</f>
        <v>19863.799999999996</v>
      </c>
    </row>
    <row r="119" spans="1:16" s="9" customFormat="1" x14ac:dyDescent="0.2">
      <c r="A119" s="11" t="s">
        <v>341</v>
      </c>
      <c r="B119" s="14">
        <v>904</v>
      </c>
      <c r="C119" s="8" t="s">
        <v>19</v>
      </c>
      <c r="D119" s="8" t="s">
        <v>16</v>
      </c>
      <c r="E119" s="8"/>
      <c r="F119" s="8"/>
      <c r="G119" s="4">
        <f>G122+G120</f>
        <v>17162.699999999997</v>
      </c>
      <c r="H119" s="4">
        <f t="shared" ref="H119:I119" si="17">H122+H120</f>
        <v>17162.699999999997</v>
      </c>
      <c r="I119" s="4">
        <f t="shared" si="17"/>
        <v>17162.699999999997</v>
      </c>
    </row>
    <row r="120" spans="1:16" ht="25.5" x14ac:dyDescent="0.2">
      <c r="A120" s="17" t="s">
        <v>166</v>
      </c>
      <c r="B120" s="17">
        <v>904</v>
      </c>
      <c r="C120" s="19" t="s">
        <v>19</v>
      </c>
      <c r="D120" s="19" t="s">
        <v>16</v>
      </c>
      <c r="E120" s="19" t="s">
        <v>165</v>
      </c>
      <c r="F120" s="5"/>
      <c r="G120" s="6">
        <f>G121</f>
        <v>13</v>
      </c>
      <c r="H120" s="6">
        <f>H121</f>
        <v>13</v>
      </c>
      <c r="I120" s="6">
        <f>I121</f>
        <v>13</v>
      </c>
    </row>
    <row r="121" spans="1:16" ht="25.5" x14ac:dyDescent="0.2">
      <c r="A121" s="31" t="s">
        <v>144</v>
      </c>
      <c r="B121" s="31">
        <v>904</v>
      </c>
      <c r="C121" s="27" t="s">
        <v>19</v>
      </c>
      <c r="D121" s="27" t="s">
        <v>16</v>
      </c>
      <c r="E121" s="27" t="s">
        <v>165</v>
      </c>
      <c r="F121" s="27" t="s">
        <v>65</v>
      </c>
      <c r="G121" s="28">
        <v>13</v>
      </c>
      <c r="H121" s="28">
        <v>13</v>
      </c>
      <c r="I121" s="28">
        <v>13</v>
      </c>
    </row>
    <row r="122" spans="1:16" ht="25.5" x14ac:dyDescent="0.2">
      <c r="A122" s="18" t="s">
        <v>357</v>
      </c>
      <c r="B122" s="22">
        <v>904</v>
      </c>
      <c r="C122" s="19" t="s">
        <v>19</v>
      </c>
      <c r="D122" s="19" t="s">
        <v>16</v>
      </c>
      <c r="E122" s="19" t="s">
        <v>194</v>
      </c>
      <c r="F122" s="19"/>
      <c r="G122" s="20">
        <f>G123</f>
        <v>17149.699999999997</v>
      </c>
      <c r="H122" s="20">
        <f>H123</f>
        <v>17149.699999999997</v>
      </c>
      <c r="I122" s="20">
        <f>I123</f>
        <v>17149.699999999997</v>
      </c>
    </row>
    <row r="123" spans="1:16" s="29" customFormat="1" ht="25.5" x14ac:dyDescent="0.2">
      <c r="A123" s="31" t="s">
        <v>144</v>
      </c>
      <c r="B123" s="35">
        <v>904</v>
      </c>
      <c r="C123" s="27" t="s">
        <v>19</v>
      </c>
      <c r="D123" s="27" t="s">
        <v>16</v>
      </c>
      <c r="E123" s="27" t="s">
        <v>194</v>
      </c>
      <c r="F123" s="27" t="s">
        <v>65</v>
      </c>
      <c r="G123" s="28">
        <f>11274.5+3405.6+427.3+55.9+11.9+5+1969.5</f>
        <v>17149.699999999997</v>
      </c>
      <c r="H123" s="28">
        <f>11274.5+3405.6+427.3+55.9+11.9+5+1969.5</f>
        <v>17149.699999999997</v>
      </c>
      <c r="I123" s="28">
        <f>11274.5+3405.6+427.3+55.9+11.9+5+1969.5</f>
        <v>17149.699999999997</v>
      </c>
    </row>
    <row r="124" spans="1:16" s="9" customFormat="1" x14ac:dyDescent="0.2">
      <c r="A124" s="11" t="s">
        <v>41</v>
      </c>
      <c r="B124" s="14">
        <v>904</v>
      </c>
      <c r="C124" s="8" t="s">
        <v>19</v>
      </c>
      <c r="D124" s="8" t="s">
        <v>26</v>
      </c>
      <c r="E124" s="8"/>
      <c r="F124" s="8"/>
      <c r="G124" s="4">
        <f>G125</f>
        <v>2701.1</v>
      </c>
      <c r="H124" s="4">
        <f t="shared" ref="H124:I124" si="18">H125</f>
        <v>2701.1</v>
      </c>
      <c r="I124" s="4">
        <f t="shared" si="18"/>
        <v>2701.1</v>
      </c>
    </row>
    <row r="125" spans="1:16" ht="25.5" x14ac:dyDescent="0.2">
      <c r="A125" s="18" t="s">
        <v>357</v>
      </c>
      <c r="B125" s="22">
        <v>904</v>
      </c>
      <c r="C125" s="19" t="s">
        <v>19</v>
      </c>
      <c r="D125" s="19" t="s">
        <v>26</v>
      </c>
      <c r="E125" s="19" t="s">
        <v>196</v>
      </c>
      <c r="F125" s="19"/>
      <c r="G125" s="20">
        <f t="shared" ref="G125:I125" si="19">G126</f>
        <v>2701.1</v>
      </c>
      <c r="H125" s="20">
        <f t="shared" si="19"/>
        <v>2701.1</v>
      </c>
      <c r="I125" s="20">
        <f t="shared" si="19"/>
        <v>2701.1</v>
      </c>
    </row>
    <row r="126" spans="1:16" s="29" customFormat="1" ht="25.5" x14ac:dyDescent="0.2">
      <c r="A126" s="31" t="s">
        <v>144</v>
      </c>
      <c r="B126" s="36">
        <v>904</v>
      </c>
      <c r="C126" s="27" t="s">
        <v>19</v>
      </c>
      <c r="D126" s="27" t="s">
        <v>26</v>
      </c>
      <c r="E126" s="27" t="s">
        <v>196</v>
      </c>
      <c r="F126" s="30" t="s">
        <v>65</v>
      </c>
      <c r="G126" s="28">
        <f>2675.9+25.2</f>
        <v>2701.1</v>
      </c>
      <c r="H126" s="28">
        <f>2675.9+25.2</f>
        <v>2701.1</v>
      </c>
      <c r="I126" s="28">
        <f>2675.9+25.2</f>
        <v>2701.1</v>
      </c>
    </row>
    <row r="127" spans="1:16" s="3" customFormat="1" x14ac:dyDescent="0.2">
      <c r="A127" s="13" t="s">
        <v>0</v>
      </c>
      <c r="B127" s="49">
        <v>904</v>
      </c>
      <c r="C127" s="1" t="s">
        <v>21</v>
      </c>
      <c r="D127" s="1"/>
      <c r="E127" s="1"/>
      <c r="F127" s="1"/>
      <c r="G127" s="2">
        <f>G128+G139+G142</f>
        <v>36508.700000000004</v>
      </c>
      <c r="H127" s="2">
        <f>H128+H139+H142</f>
        <v>31208.700000000004</v>
      </c>
      <c r="I127" s="2">
        <f>I128+I139+I142</f>
        <v>31208.700000000004</v>
      </c>
    </row>
    <row r="128" spans="1:16" s="9" customFormat="1" x14ac:dyDescent="0.2">
      <c r="A128" s="11" t="s">
        <v>1</v>
      </c>
      <c r="B128" s="14">
        <v>904</v>
      </c>
      <c r="C128" s="8" t="s">
        <v>21</v>
      </c>
      <c r="D128" s="8" t="s">
        <v>12</v>
      </c>
      <c r="E128" s="8"/>
      <c r="F128" s="8"/>
      <c r="G128" s="4">
        <f>G133+G137+G129+G135+G131</f>
        <v>35242.9</v>
      </c>
      <c r="H128" s="4">
        <f>H133+H137+H129+H135+H131</f>
        <v>29942.9</v>
      </c>
      <c r="I128" s="4">
        <f>I133+I137+I129+I135+I131</f>
        <v>29942.9</v>
      </c>
    </row>
    <row r="129" spans="1:9" s="12" customFormat="1" ht="25.5" x14ac:dyDescent="0.2">
      <c r="A129" s="17" t="s">
        <v>166</v>
      </c>
      <c r="B129" s="51">
        <v>904</v>
      </c>
      <c r="C129" s="19" t="s">
        <v>21</v>
      </c>
      <c r="D129" s="19" t="s">
        <v>12</v>
      </c>
      <c r="E129" s="19" t="s">
        <v>165</v>
      </c>
      <c r="F129" s="5"/>
      <c r="G129" s="6">
        <f>G130</f>
        <v>20</v>
      </c>
      <c r="H129" s="6">
        <f>H130</f>
        <v>20</v>
      </c>
      <c r="I129" s="6">
        <f>I130</f>
        <v>20</v>
      </c>
    </row>
    <row r="130" spans="1:9" s="29" customFormat="1" ht="25.5" x14ac:dyDescent="0.2">
      <c r="A130" s="31" t="s">
        <v>144</v>
      </c>
      <c r="B130" s="35">
        <v>904</v>
      </c>
      <c r="C130" s="27" t="s">
        <v>21</v>
      </c>
      <c r="D130" s="27" t="s">
        <v>12</v>
      </c>
      <c r="E130" s="27" t="s">
        <v>165</v>
      </c>
      <c r="F130" s="27" t="s">
        <v>65</v>
      </c>
      <c r="G130" s="28">
        <v>20</v>
      </c>
      <c r="H130" s="28">
        <v>20</v>
      </c>
      <c r="I130" s="28">
        <v>20</v>
      </c>
    </row>
    <row r="131" spans="1:9" x14ac:dyDescent="0.2">
      <c r="A131" s="18" t="s">
        <v>179</v>
      </c>
      <c r="B131" s="22">
        <v>904</v>
      </c>
      <c r="C131" s="19" t="s">
        <v>21</v>
      </c>
      <c r="D131" s="19" t="s">
        <v>12</v>
      </c>
      <c r="E131" s="27" t="s">
        <v>178</v>
      </c>
      <c r="F131" s="19"/>
      <c r="G131" s="20">
        <f>G132</f>
        <v>5300</v>
      </c>
      <c r="H131" s="20">
        <f>H132</f>
        <v>0</v>
      </c>
      <c r="I131" s="20">
        <f>I132</f>
        <v>0</v>
      </c>
    </row>
    <row r="132" spans="1:9" s="29" customFormat="1" ht="25.5" x14ac:dyDescent="0.2">
      <c r="A132" s="31" t="s">
        <v>83</v>
      </c>
      <c r="B132" s="22">
        <v>904</v>
      </c>
      <c r="C132" s="27" t="s">
        <v>21</v>
      </c>
      <c r="D132" s="27" t="s">
        <v>12</v>
      </c>
      <c r="E132" s="27" t="s">
        <v>178</v>
      </c>
      <c r="F132" s="27" t="s">
        <v>71</v>
      </c>
      <c r="G132" s="28">
        <v>5300</v>
      </c>
      <c r="H132" s="28">
        <v>0</v>
      </c>
      <c r="I132" s="28">
        <v>0</v>
      </c>
    </row>
    <row r="133" spans="1:9" ht="25.5" x14ac:dyDescent="0.2">
      <c r="A133" s="18" t="s">
        <v>198</v>
      </c>
      <c r="B133" s="22">
        <v>904</v>
      </c>
      <c r="C133" s="19" t="s">
        <v>21</v>
      </c>
      <c r="D133" s="19" t="s">
        <v>12</v>
      </c>
      <c r="E133" s="19" t="s">
        <v>197</v>
      </c>
      <c r="F133" s="19"/>
      <c r="G133" s="20">
        <f>G134</f>
        <v>8956.3000000000011</v>
      </c>
      <c r="H133" s="20">
        <f t="shared" ref="H133:I133" si="20">H134</f>
        <v>8956.3000000000011</v>
      </c>
      <c r="I133" s="20">
        <f t="shared" si="20"/>
        <v>8956.3000000000011</v>
      </c>
    </row>
    <row r="134" spans="1:9" s="29" customFormat="1" ht="25.5" x14ac:dyDescent="0.2">
      <c r="A134" s="31" t="s">
        <v>144</v>
      </c>
      <c r="B134" s="35">
        <v>904</v>
      </c>
      <c r="C134" s="27" t="s">
        <v>21</v>
      </c>
      <c r="D134" s="27" t="s">
        <v>12</v>
      </c>
      <c r="E134" s="27" t="s">
        <v>197</v>
      </c>
      <c r="F134" s="27" t="s">
        <v>65</v>
      </c>
      <c r="G134" s="28">
        <f>8885.6+70.7</f>
        <v>8956.3000000000011</v>
      </c>
      <c r="H134" s="28">
        <f>8885.6+70.7</f>
        <v>8956.3000000000011</v>
      </c>
      <c r="I134" s="28">
        <f>8885.6+70.7</f>
        <v>8956.3000000000011</v>
      </c>
    </row>
    <row r="135" spans="1:9" ht="38.25" x14ac:dyDescent="0.2">
      <c r="A135" s="18" t="s">
        <v>200</v>
      </c>
      <c r="B135" s="22">
        <v>904</v>
      </c>
      <c r="C135" s="19" t="s">
        <v>21</v>
      </c>
      <c r="D135" s="19" t="s">
        <v>12</v>
      </c>
      <c r="E135" s="19" t="s">
        <v>199</v>
      </c>
      <c r="F135" s="19"/>
      <c r="G135" s="20">
        <f>G136</f>
        <v>150</v>
      </c>
      <c r="H135" s="20">
        <f>H136</f>
        <v>150</v>
      </c>
      <c r="I135" s="20">
        <f>I136</f>
        <v>150</v>
      </c>
    </row>
    <row r="136" spans="1:9" s="29" customFormat="1" ht="25.5" x14ac:dyDescent="0.2">
      <c r="A136" s="31" t="s">
        <v>76</v>
      </c>
      <c r="B136" s="36">
        <v>904</v>
      </c>
      <c r="C136" s="27" t="s">
        <v>21</v>
      </c>
      <c r="D136" s="27" t="s">
        <v>12</v>
      </c>
      <c r="E136" s="27" t="s">
        <v>199</v>
      </c>
      <c r="F136" s="30" t="s">
        <v>68</v>
      </c>
      <c r="G136" s="28">
        <v>150</v>
      </c>
      <c r="H136" s="28">
        <v>150</v>
      </c>
      <c r="I136" s="28">
        <v>150</v>
      </c>
    </row>
    <row r="137" spans="1:9" ht="25.5" x14ac:dyDescent="0.2">
      <c r="A137" s="18" t="s">
        <v>370</v>
      </c>
      <c r="B137" s="22">
        <v>904</v>
      </c>
      <c r="C137" s="19" t="s">
        <v>21</v>
      </c>
      <c r="D137" s="19" t="s">
        <v>12</v>
      </c>
      <c r="E137" s="19" t="s">
        <v>371</v>
      </c>
      <c r="F137" s="19"/>
      <c r="G137" s="20">
        <f>G138</f>
        <v>20816.600000000002</v>
      </c>
      <c r="H137" s="20">
        <f>H138</f>
        <v>20816.600000000002</v>
      </c>
      <c r="I137" s="20">
        <f>I138</f>
        <v>20816.600000000002</v>
      </c>
    </row>
    <row r="138" spans="1:9" s="29" customFormat="1" ht="25.5" x14ac:dyDescent="0.2">
      <c r="A138" s="31" t="s">
        <v>144</v>
      </c>
      <c r="B138" s="36">
        <v>904</v>
      </c>
      <c r="C138" s="27" t="s">
        <v>21</v>
      </c>
      <c r="D138" s="27" t="s">
        <v>12</v>
      </c>
      <c r="E138" s="27" t="s">
        <v>371</v>
      </c>
      <c r="F138" s="30" t="s">
        <v>65</v>
      </c>
      <c r="G138" s="28">
        <f>20716.7+99.9</f>
        <v>20816.600000000002</v>
      </c>
      <c r="H138" s="28">
        <f>20716.7+99.9</f>
        <v>20816.600000000002</v>
      </c>
      <c r="I138" s="28">
        <f>20716.7+99.9</f>
        <v>20816.600000000002</v>
      </c>
    </row>
    <row r="139" spans="1:9" s="9" customFormat="1" x14ac:dyDescent="0.2">
      <c r="A139" s="11" t="s">
        <v>2</v>
      </c>
      <c r="B139" s="14">
        <v>904</v>
      </c>
      <c r="C139" s="8" t="s">
        <v>21</v>
      </c>
      <c r="D139" s="8" t="s">
        <v>14</v>
      </c>
      <c r="E139" s="8"/>
      <c r="F139" s="8"/>
      <c r="G139" s="4">
        <f t="shared" ref="G139:I140" si="21">G140</f>
        <v>281.89999999999998</v>
      </c>
      <c r="H139" s="4">
        <f t="shared" si="21"/>
        <v>281.89999999999998</v>
      </c>
      <c r="I139" s="4">
        <f t="shared" si="21"/>
        <v>281.89999999999998</v>
      </c>
    </row>
    <row r="140" spans="1:9" ht="25.5" x14ac:dyDescent="0.2">
      <c r="A140" s="18" t="s">
        <v>202</v>
      </c>
      <c r="B140" s="22">
        <v>904</v>
      </c>
      <c r="C140" s="19" t="s">
        <v>21</v>
      </c>
      <c r="D140" s="19" t="s">
        <v>14</v>
      </c>
      <c r="E140" s="19" t="s">
        <v>201</v>
      </c>
      <c r="F140" s="19"/>
      <c r="G140" s="20">
        <f t="shared" si="21"/>
        <v>281.89999999999998</v>
      </c>
      <c r="H140" s="20">
        <f t="shared" si="21"/>
        <v>281.89999999999998</v>
      </c>
      <c r="I140" s="20">
        <f t="shared" si="21"/>
        <v>281.89999999999998</v>
      </c>
    </row>
    <row r="141" spans="1:9" s="29" customFormat="1" ht="25.5" x14ac:dyDescent="0.2">
      <c r="A141" s="31" t="s">
        <v>76</v>
      </c>
      <c r="B141" s="36">
        <v>904</v>
      </c>
      <c r="C141" s="27" t="s">
        <v>21</v>
      </c>
      <c r="D141" s="27" t="s">
        <v>14</v>
      </c>
      <c r="E141" s="27" t="s">
        <v>201</v>
      </c>
      <c r="F141" s="30" t="s">
        <v>68</v>
      </c>
      <c r="G141" s="28">
        <v>281.89999999999998</v>
      </c>
      <c r="H141" s="28">
        <v>281.89999999999998</v>
      </c>
      <c r="I141" s="28">
        <v>281.89999999999998</v>
      </c>
    </row>
    <row r="142" spans="1:9" s="9" customFormat="1" ht="25.5" x14ac:dyDescent="0.2">
      <c r="A142" s="11" t="s">
        <v>4</v>
      </c>
      <c r="B142" s="14">
        <v>904</v>
      </c>
      <c r="C142" s="8" t="s">
        <v>21</v>
      </c>
      <c r="D142" s="8" t="s">
        <v>31</v>
      </c>
      <c r="E142" s="8"/>
      <c r="F142" s="8"/>
      <c r="G142" s="4">
        <f>G143</f>
        <v>983.9</v>
      </c>
      <c r="H142" s="4">
        <f>H143</f>
        <v>983.9</v>
      </c>
      <c r="I142" s="4">
        <f>I143</f>
        <v>983.9</v>
      </c>
    </row>
    <row r="143" spans="1:9" ht="25.5" x14ac:dyDescent="0.2">
      <c r="A143" s="18" t="s">
        <v>198</v>
      </c>
      <c r="B143" s="22">
        <v>904</v>
      </c>
      <c r="C143" s="19" t="s">
        <v>21</v>
      </c>
      <c r="D143" s="19" t="s">
        <v>31</v>
      </c>
      <c r="E143" s="19" t="s">
        <v>203</v>
      </c>
      <c r="F143" s="19"/>
      <c r="G143" s="20">
        <f>G144+G145</f>
        <v>983.9</v>
      </c>
      <c r="H143" s="20">
        <f>H144+H145</f>
        <v>983.9</v>
      </c>
      <c r="I143" s="20">
        <f>I144+I145</f>
        <v>983.9</v>
      </c>
    </row>
    <row r="144" spans="1:9" s="29" customFormat="1" ht="50.25" customHeight="1" x14ac:dyDescent="0.2">
      <c r="A144" s="34" t="s">
        <v>66</v>
      </c>
      <c r="B144" s="36">
        <v>904</v>
      </c>
      <c r="C144" s="27" t="s">
        <v>21</v>
      </c>
      <c r="D144" s="27" t="s">
        <v>31</v>
      </c>
      <c r="E144" s="27" t="s">
        <v>203</v>
      </c>
      <c r="F144" s="30" t="s">
        <v>67</v>
      </c>
      <c r="G144" s="28">
        <f>717.6+216.7+9</f>
        <v>943.3</v>
      </c>
      <c r="H144" s="28">
        <f>717.6+216.7+9</f>
        <v>943.3</v>
      </c>
      <c r="I144" s="28">
        <f>717.6+216.7+9</f>
        <v>943.3</v>
      </c>
    </row>
    <row r="145" spans="1:13" s="29" customFormat="1" ht="25.5" x14ac:dyDescent="0.2">
      <c r="A145" s="31" t="s">
        <v>76</v>
      </c>
      <c r="B145" s="36">
        <v>904</v>
      </c>
      <c r="C145" s="27" t="s">
        <v>21</v>
      </c>
      <c r="D145" s="27" t="s">
        <v>31</v>
      </c>
      <c r="E145" s="27" t="s">
        <v>203</v>
      </c>
      <c r="F145" s="30" t="s">
        <v>68</v>
      </c>
      <c r="G145" s="28">
        <v>40.6</v>
      </c>
      <c r="H145" s="28">
        <v>40.6</v>
      </c>
      <c r="I145" s="28">
        <v>40.6</v>
      </c>
    </row>
    <row r="146" spans="1:13" s="9" customFormat="1" ht="38.25" x14ac:dyDescent="0.2">
      <c r="A146" s="47" t="s">
        <v>47</v>
      </c>
      <c r="B146" s="44">
        <v>905</v>
      </c>
      <c r="C146" s="48"/>
      <c r="D146" s="48"/>
      <c r="E146" s="48"/>
      <c r="F146" s="48"/>
      <c r="G146" s="46">
        <f>G147+G166+G176+G172</f>
        <v>58656.7</v>
      </c>
      <c r="H146" s="46">
        <f>H147+H166+H176+H172</f>
        <v>53040.7</v>
      </c>
      <c r="I146" s="46">
        <f>I147+I166+I176+I172</f>
        <v>53950.399999999994</v>
      </c>
      <c r="J146" s="72"/>
      <c r="K146" s="72"/>
    </row>
    <row r="147" spans="1:13" s="3" customFormat="1" x14ac:dyDescent="0.2">
      <c r="A147" s="13" t="s">
        <v>60</v>
      </c>
      <c r="B147" s="49">
        <v>905</v>
      </c>
      <c r="C147" s="1" t="s">
        <v>12</v>
      </c>
      <c r="D147" s="1"/>
      <c r="E147" s="1"/>
      <c r="F147" s="1"/>
      <c r="G147" s="2">
        <f>G148</f>
        <v>12218.5</v>
      </c>
      <c r="H147" s="2">
        <f>H148</f>
        <v>12218.5</v>
      </c>
      <c r="I147" s="2">
        <f>I148</f>
        <v>12218.5</v>
      </c>
      <c r="J147" s="74"/>
      <c r="K147" s="74"/>
    </row>
    <row r="148" spans="1:13" s="9" customFormat="1" x14ac:dyDescent="0.2">
      <c r="A148" s="11" t="s">
        <v>24</v>
      </c>
      <c r="B148" s="14">
        <v>905</v>
      </c>
      <c r="C148" s="8" t="s">
        <v>12</v>
      </c>
      <c r="D148" s="8" t="s">
        <v>61</v>
      </c>
      <c r="E148" s="8"/>
      <c r="F148" s="8"/>
      <c r="G148" s="4">
        <f>G149+G151+G155+G158+G160+G163+G153</f>
        <v>12218.5</v>
      </c>
      <c r="H148" s="4">
        <f t="shared" ref="H148:I148" si="22">H149+H151+H155+H158+H160+H163+H153</f>
        <v>12218.5</v>
      </c>
      <c r="I148" s="4">
        <f t="shared" si="22"/>
        <v>12218.5</v>
      </c>
    </row>
    <row r="149" spans="1:13" ht="25.5" x14ac:dyDescent="0.2">
      <c r="A149" s="18" t="s">
        <v>205</v>
      </c>
      <c r="B149" s="22">
        <v>905</v>
      </c>
      <c r="C149" s="19" t="s">
        <v>12</v>
      </c>
      <c r="D149" s="19" t="s">
        <v>61</v>
      </c>
      <c r="E149" s="5" t="s">
        <v>204</v>
      </c>
      <c r="F149" s="5"/>
      <c r="G149" s="6">
        <f>G150</f>
        <v>200</v>
      </c>
      <c r="H149" s="6">
        <f>H150</f>
        <v>200</v>
      </c>
      <c r="I149" s="6">
        <f>I150</f>
        <v>200</v>
      </c>
    </row>
    <row r="150" spans="1:13" s="29" customFormat="1" ht="25.5" x14ac:dyDescent="0.2">
      <c r="A150" s="31" t="s">
        <v>76</v>
      </c>
      <c r="B150" s="36">
        <v>905</v>
      </c>
      <c r="C150" s="27" t="s">
        <v>12</v>
      </c>
      <c r="D150" s="27" t="s">
        <v>61</v>
      </c>
      <c r="E150" s="27" t="s">
        <v>204</v>
      </c>
      <c r="F150" s="30" t="s">
        <v>68</v>
      </c>
      <c r="G150" s="28">
        <v>200</v>
      </c>
      <c r="H150" s="28">
        <v>200</v>
      </c>
      <c r="I150" s="28">
        <v>200</v>
      </c>
    </row>
    <row r="151" spans="1:13" ht="25.5" x14ac:dyDescent="0.2">
      <c r="A151" s="18" t="s">
        <v>206</v>
      </c>
      <c r="B151" s="22">
        <v>905</v>
      </c>
      <c r="C151" s="19" t="s">
        <v>12</v>
      </c>
      <c r="D151" s="19" t="s">
        <v>61</v>
      </c>
      <c r="E151" s="5" t="s">
        <v>207</v>
      </c>
      <c r="F151" s="5"/>
      <c r="G151" s="6">
        <f>G152</f>
        <v>1000</v>
      </c>
      <c r="H151" s="6">
        <f>H152</f>
        <v>1000</v>
      </c>
      <c r="I151" s="6">
        <f>I152</f>
        <v>1000</v>
      </c>
    </row>
    <row r="152" spans="1:13" s="29" customFormat="1" ht="25.5" x14ac:dyDescent="0.2">
      <c r="A152" s="31" t="s">
        <v>76</v>
      </c>
      <c r="B152" s="36">
        <v>905</v>
      </c>
      <c r="C152" s="27" t="s">
        <v>12</v>
      </c>
      <c r="D152" s="27" t="s">
        <v>61</v>
      </c>
      <c r="E152" s="27" t="s">
        <v>207</v>
      </c>
      <c r="F152" s="30" t="s">
        <v>68</v>
      </c>
      <c r="G152" s="28">
        <v>1000</v>
      </c>
      <c r="H152" s="28">
        <v>1000</v>
      </c>
      <c r="I152" s="28">
        <v>1000</v>
      </c>
    </row>
    <row r="153" spans="1:13" ht="38.25" x14ac:dyDescent="0.2">
      <c r="A153" s="18" t="s">
        <v>208</v>
      </c>
      <c r="B153" s="22">
        <v>905</v>
      </c>
      <c r="C153" s="19" t="s">
        <v>12</v>
      </c>
      <c r="D153" s="19" t="s">
        <v>61</v>
      </c>
      <c r="E153" s="19" t="s">
        <v>209</v>
      </c>
      <c r="F153" s="19"/>
      <c r="G153" s="20">
        <f>G154</f>
        <v>200</v>
      </c>
      <c r="H153" s="20">
        <f>H154</f>
        <v>200</v>
      </c>
      <c r="I153" s="20">
        <f>I154</f>
        <v>200</v>
      </c>
    </row>
    <row r="154" spans="1:13" s="29" customFormat="1" ht="25.5" x14ac:dyDescent="0.2">
      <c r="A154" s="31" t="s">
        <v>76</v>
      </c>
      <c r="B154" s="35">
        <v>905</v>
      </c>
      <c r="C154" s="27" t="s">
        <v>12</v>
      </c>
      <c r="D154" s="27" t="s">
        <v>61</v>
      </c>
      <c r="E154" s="27" t="s">
        <v>209</v>
      </c>
      <c r="F154" s="30" t="s">
        <v>68</v>
      </c>
      <c r="G154" s="28">
        <v>200</v>
      </c>
      <c r="H154" s="28">
        <v>200</v>
      </c>
      <c r="I154" s="28">
        <v>200</v>
      </c>
      <c r="J154" s="21"/>
      <c r="K154" s="21"/>
      <c r="L154" s="21"/>
      <c r="M154" s="21"/>
    </row>
    <row r="155" spans="1:13" x14ac:dyDescent="0.2">
      <c r="A155" s="18" t="s">
        <v>210</v>
      </c>
      <c r="B155" s="22">
        <v>905</v>
      </c>
      <c r="C155" s="19" t="s">
        <v>12</v>
      </c>
      <c r="D155" s="19" t="s">
        <v>61</v>
      </c>
      <c r="E155" s="5" t="s">
        <v>211</v>
      </c>
      <c r="F155" s="5"/>
      <c r="G155" s="6">
        <f>G157+G156</f>
        <v>1400</v>
      </c>
      <c r="H155" s="6">
        <f>H157+H156</f>
        <v>1400</v>
      </c>
      <c r="I155" s="6">
        <f>I157+I156</f>
        <v>1400</v>
      </c>
    </row>
    <row r="156" spans="1:13" s="29" customFormat="1" ht="25.5" x14ac:dyDescent="0.2">
      <c r="A156" s="31" t="s">
        <v>76</v>
      </c>
      <c r="B156" s="36">
        <v>905</v>
      </c>
      <c r="C156" s="27" t="s">
        <v>12</v>
      </c>
      <c r="D156" s="27" t="s">
        <v>61</v>
      </c>
      <c r="E156" s="27" t="s">
        <v>211</v>
      </c>
      <c r="F156" s="30" t="s">
        <v>68</v>
      </c>
      <c r="G156" s="28">
        <v>800</v>
      </c>
      <c r="H156" s="28">
        <v>800</v>
      </c>
      <c r="I156" s="28">
        <v>800</v>
      </c>
    </row>
    <row r="157" spans="1:13" s="29" customFormat="1" x14ac:dyDescent="0.2">
      <c r="A157" s="31" t="s">
        <v>72</v>
      </c>
      <c r="B157" s="36">
        <v>905</v>
      </c>
      <c r="C157" s="27" t="s">
        <v>12</v>
      </c>
      <c r="D157" s="27" t="s">
        <v>61</v>
      </c>
      <c r="E157" s="27" t="s">
        <v>211</v>
      </c>
      <c r="F157" s="30" t="s">
        <v>73</v>
      </c>
      <c r="G157" s="28">
        <v>600</v>
      </c>
      <c r="H157" s="28">
        <v>600</v>
      </c>
      <c r="I157" s="28">
        <v>600</v>
      </c>
    </row>
    <row r="158" spans="1:13" x14ac:dyDescent="0.2">
      <c r="A158" s="18" t="s">
        <v>213</v>
      </c>
      <c r="B158" s="22">
        <v>905</v>
      </c>
      <c r="C158" s="19" t="s">
        <v>12</v>
      </c>
      <c r="D158" s="19" t="s">
        <v>61</v>
      </c>
      <c r="E158" s="5" t="s">
        <v>212</v>
      </c>
      <c r="F158" s="5"/>
      <c r="G158" s="6">
        <f>G159</f>
        <v>600</v>
      </c>
      <c r="H158" s="6">
        <f>H159</f>
        <v>600</v>
      </c>
      <c r="I158" s="6">
        <f>I159</f>
        <v>600</v>
      </c>
    </row>
    <row r="159" spans="1:13" s="29" customFormat="1" ht="25.5" x14ac:dyDescent="0.2">
      <c r="A159" s="31" t="s">
        <v>76</v>
      </c>
      <c r="B159" s="36">
        <v>905</v>
      </c>
      <c r="C159" s="27" t="s">
        <v>12</v>
      </c>
      <c r="D159" s="27" t="s">
        <v>61</v>
      </c>
      <c r="E159" s="27" t="s">
        <v>212</v>
      </c>
      <c r="F159" s="30" t="s">
        <v>68</v>
      </c>
      <c r="G159" s="28">
        <v>600</v>
      </c>
      <c r="H159" s="28">
        <v>600</v>
      </c>
      <c r="I159" s="28">
        <v>600</v>
      </c>
    </row>
    <row r="160" spans="1:13" x14ac:dyDescent="0.2">
      <c r="A160" s="18" t="s">
        <v>214</v>
      </c>
      <c r="B160" s="22">
        <v>905</v>
      </c>
      <c r="C160" s="19" t="s">
        <v>12</v>
      </c>
      <c r="D160" s="19" t="s">
        <v>61</v>
      </c>
      <c r="E160" s="5" t="s">
        <v>215</v>
      </c>
      <c r="F160" s="5"/>
      <c r="G160" s="6">
        <f>G161+G162</f>
        <v>1039.7</v>
      </c>
      <c r="H160" s="6">
        <f>H161+H162</f>
        <v>1039.7</v>
      </c>
      <c r="I160" s="6">
        <f>I161+I162</f>
        <v>1039.7</v>
      </c>
    </row>
    <row r="161" spans="1:13" s="29" customFormat="1" ht="25.5" x14ac:dyDescent="0.2">
      <c r="A161" s="31" t="s">
        <v>76</v>
      </c>
      <c r="B161" s="26">
        <v>905</v>
      </c>
      <c r="C161" s="27" t="s">
        <v>12</v>
      </c>
      <c r="D161" s="27" t="s">
        <v>61</v>
      </c>
      <c r="E161" s="27" t="s">
        <v>215</v>
      </c>
      <c r="F161" s="30" t="s">
        <v>68</v>
      </c>
      <c r="G161" s="28">
        <v>100</v>
      </c>
      <c r="H161" s="28">
        <v>100</v>
      </c>
      <c r="I161" s="28">
        <v>100</v>
      </c>
    </row>
    <row r="162" spans="1:13" s="29" customFormat="1" x14ac:dyDescent="0.2">
      <c r="A162" s="31" t="s">
        <v>72</v>
      </c>
      <c r="B162" s="35">
        <v>905</v>
      </c>
      <c r="C162" s="19" t="s">
        <v>12</v>
      </c>
      <c r="D162" s="19" t="s">
        <v>61</v>
      </c>
      <c r="E162" s="27" t="s">
        <v>215</v>
      </c>
      <c r="F162" s="27" t="s">
        <v>73</v>
      </c>
      <c r="G162" s="28">
        <v>939.7</v>
      </c>
      <c r="H162" s="28">
        <v>939.7</v>
      </c>
      <c r="I162" s="28">
        <v>939.7</v>
      </c>
    </row>
    <row r="163" spans="1:13" ht="25.5" x14ac:dyDescent="0.2">
      <c r="A163" s="18" t="s">
        <v>216</v>
      </c>
      <c r="B163" s="22">
        <v>905</v>
      </c>
      <c r="C163" s="19" t="s">
        <v>12</v>
      </c>
      <c r="D163" s="19" t="s">
        <v>61</v>
      </c>
      <c r="E163" s="5" t="s">
        <v>217</v>
      </c>
      <c r="F163" s="19"/>
      <c r="G163" s="20">
        <f>G164+G165</f>
        <v>7778.8000000000011</v>
      </c>
      <c r="H163" s="20">
        <f t="shared" ref="H163:I163" si="23">H164+H165</f>
        <v>7778.8000000000011</v>
      </c>
      <c r="I163" s="20">
        <f t="shared" si="23"/>
        <v>7778.8000000000011</v>
      </c>
    </row>
    <row r="164" spans="1:13" s="29" customFormat="1" ht="51" customHeight="1" x14ac:dyDescent="0.2">
      <c r="A164" s="34" t="s">
        <v>66</v>
      </c>
      <c r="B164" s="36">
        <v>905</v>
      </c>
      <c r="C164" s="27" t="s">
        <v>12</v>
      </c>
      <c r="D164" s="27" t="s">
        <v>61</v>
      </c>
      <c r="E164" s="27" t="s">
        <v>217</v>
      </c>
      <c r="F164" s="30" t="s">
        <v>67</v>
      </c>
      <c r="G164" s="28">
        <f>5397.6+1630.1+67.6</f>
        <v>7095.3000000000011</v>
      </c>
      <c r="H164" s="28">
        <f>5397.6+1630.1+67.6</f>
        <v>7095.3000000000011</v>
      </c>
      <c r="I164" s="28">
        <f>5397.6+1630.1+67.6</f>
        <v>7095.3000000000011</v>
      </c>
    </row>
    <row r="165" spans="1:13" s="29" customFormat="1" ht="25.5" x14ac:dyDescent="0.2">
      <c r="A165" s="31" t="s">
        <v>76</v>
      </c>
      <c r="B165" s="36">
        <v>905</v>
      </c>
      <c r="C165" s="27" t="s">
        <v>12</v>
      </c>
      <c r="D165" s="27" t="s">
        <v>61</v>
      </c>
      <c r="E165" s="27" t="s">
        <v>217</v>
      </c>
      <c r="F165" s="30" t="s">
        <v>68</v>
      </c>
      <c r="G165" s="28">
        <v>683.5</v>
      </c>
      <c r="H165" s="28">
        <v>683.5</v>
      </c>
      <c r="I165" s="28">
        <v>683.5</v>
      </c>
    </row>
    <row r="166" spans="1:13" s="3" customFormat="1" x14ac:dyDescent="0.2">
      <c r="A166" s="13" t="s">
        <v>27</v>
      </c>
      <c r="B166" s="49">
        <v>905</v>
      </c>
      <c r="C166" s="1" t="s">
        <v>18</v>
      </c>
      <c r="D166" s="1"/>
      <c r="E166" s="1"/>
      <c r="F166" s="1"/>
      <c r="G166" s="2">
        <f>G167</f>
        <v>1700</v>
      </c>
      <c r="H166" s="2">
        <f>H167</f>
        <v>1700</v>
      </c>
      <c r="I166" s="2">
        <f>I167</f>
        <v>1700</v>
      </c>
    </row>
    <row r="167" spans="1:13" s="9" customFormat="1" x14ac:dyDescent="0.2">
      <c r="A167" s="11" t="s">
        <v>29</v>
      </c>
      <c r="B167" s="14">
        <v>905</v>
      </c>
      <c r="C167" s="8" t="s">
        <v>18</v>
      </c>
      <c r="D167" s="8" t="s">
        <v>23</v>
      </c>
      <c r="E167" s="8"/>
      <c r="F167" s="8"/>
      <c r="G167" s="4">
        <f>G168+G170</f>
        <v>1700</v>
      </c>
      <c r="H167" s="4">
        <f>H168+H170</f>
        <v>1700</v>
      </c>
      <c r="I167" s="4">
        <f>I168+I170</f>
        <v>1700</v>
      </c>
    </row>
    <row r="168" spans="1:13" x14ac:dyDescent="0.2">
      <c r="A168" s="18" t="s">
        <v>219</v>
      </c>
      <c r="B168" s="22">
        <v>905</v>
      </c>
      <c r="C168" s="19" t="s">
        <v>18</v>
      </c>
      <c r="D168" s="19" t="s">
        <v>23</v>
      </c>
      <c r="E168" s="19" t="s">
        <v>218</v>
      </c>
      <c r="F168" s="19"/>
      <c r="G168" s="20">
        <f>G169</f>
        <v>1000</v>
      </c>
      <c r="H168" s="20">
        <f>H169</f>
        <v>1000</v>
      </c>
      <c r="I168" s="20">
        <f>I169</f>
        <v>1000</v>
      </c>
    </row>
    <row r="169" spans="1:13" s="29" customFormat="1" ht="25.5" x14ac:dyDescent="0.2">
      <c r="A169" s="31" t="s">
        <v>76</v>
      </c>
      <c r="B169" s="35">
        <v>905</v>
      </c>
      <c r="C169" s="27" t="s">
        <v>18</v>
      </c>
      <c r="D169" s="27" t="s">
        <v>23</v>
      </c>
      <c r="E169" s="27" t="s">
        <v>218</v>
      </c>
      <c r="F169" s="30" t="s">
        <v>68</v>
      </c>
      <c r="G169" s="28">
        <v>1000</v>
      </c>
      <c r="H169" s="28">
        <v>1000</v>
      </c>
      <c r="I169" s="28">
        <v>1000</v>
      </c>
      <c r="J169" s="21"/>
      <c r="K169" s="21"/>
      <c r="L169" s="21"/>
      <c r="M169" s="21"/>
    </row>
    <row r="170" spans="1:13" ht="38.25" x14ac:dyDescent="0.2">
      <c r="A170" s="18" t="s">
        <v>220</v>
      </c>
      <c r="B170" s="22">
        <v>905</v>
      </c>
      <c r="C170" s="19" t="s">
        <v>18</v>
      </c>
      <c r="D170" s="19" t="s">
        <v>23</v>
      </c>
      <c r="E170" s="19" t="s">
        <v>221</v>
      </c>
      <c r="F170" s="19"/>
      <c r="G170" s="20">
        <f>G171</f>
        <v>700</v>
      </c>
      <c r="H170" s="20">
        <f>H171</f>
        <v>700</v>
      </c>
      <c r="I170" s="20">
        <f>I171</f>
        <v>700</v>
      </c>
    </row>
    <row r="171" spans="1:13" s="29" customFormat="1" ht="25.5" x14ac:dyDescent="0.2">
      <c r="A171" s="31" t="s">
        <v>76</v>
      </c>
      <c r="B171" s="36">
        <v>905</v>
      </c>
      <c r="C171" s="27" t="s">
        <v>18</v>
      </c>
      <c r="D171" s="27" t="s">
        <v>23</v>
      </c>
      <c r="E171" s="27" t="s">
        <v>221</v>
      </c>
      <c r="F171" s="30" t="s">
        <v>68</v>
      </c>
      <c r="G171" s="28">
        <v>700</v>
      </c>
      <c r="H171" s="28">
        <v>700</v>
      </c>
      <c r="I171" s="28">
        <v>700</v>
      </c>
    </row>
    <row r="172" spans="1:13" s="3" customFormat="1" x14ac:dyDescent="0.2">
      <c r="A172" s="13" t="s">
        <v>30</v>
      </c>
      <c r="B172" s="49">
        <v>905</v>
      </c>
      <c r="C172" s="1" t="s">
        <v>31</v>
      </c>
      <c r="D172" s="1"/>
      <c r="E172" s="1"/>
      <c r="F172" s="1"/>
      <c r="G172" s="2">
        <f>G173</f>
        <v>6538.3</v>
      </c>
      <c r="H172" s="2">
        <f t="shared" ref="H172:I172" si="24">H173</f>
        <v>0</v>
      </c>
      <c r="I172" s="2">
        <f t="shared" si="24"/>
        <v>0</v>
      </c>
    </row>
    <row r="173" spans="1:13" s="9" customFormat="1" x14ac:dyDescent="0.2">
      <c r="A173" s="11" t="s">
        <v>32</v>
      </c>
      <c r="B173" s="14">
        <v>905</v>
      </c>
      <c r="C173" s="8" t="s">
        <v>31</v>
      </c>
      <c r="D173" s="8" t="s">
        <v>12</v>
      </c>
      <c r="E173" s="8"/>
      <c r="F173" s="8"/>
      <c r="G173" s="4">
        <f t="shared" ref="G173:I174" si="25">G174</f>
        <v>6538.3</v>
      </c>
      <c r="H173" s="4">
        <f t="shared" si="25"/>
        <v>0</v>
      </c>
      <c r="I173" s="4">
        <f t="shared" si="25"/>
        <v>0</v>
      </c>
    </row>
    <row r="174" spans="1:13" ht="25.5" x14ac:dyDescent="0.2">
      <c r="A174" s="18" t="s">
        <v>222</v>
      </c>
      <c r="B174" s="22">
        <v>905</v>
      </c>
      <c r="C174" s="19" t="s">
        <v>31</v>
      </c>
      <c r="D174" s="19" t="s">
        <v>12</v>
      </c>
      <c r="E174" s="19" t="s">
        <v>223</v>
      </c>
      <c r="F174" s="19"/>
      <c r="G174" s="20">
        <f t="shared" si="25"/>
        <v>6538.3</v>
      </c>
      <c r="H174" s="20">
        <f t="shared" si="25"/>
        <v>0</v>
      </c>
      <c r="I174" s="20">
        <f t="shared" si="25"/>
        <v>0</v>
      </c>
    </row>
    <row r="175" spans="1:13" s="29" customFormat="1" ht="25.5" x14ac:dyDescent="0.2">
      <c r="A175" s="31" t="s">
        <v>76</v>
      </c>
      <c r="B175" s="35">
        <v>905</v>
      </c>
      <c r="C175" s="27" t="s">
        <v>31</v>
      </c>
      <c r="D175" s="27" t="s">
        <v>12</v>
      </c>
      <c r="E175" s="27" t="s">
        <v>223</v>
      </c>
      <c r="F175" s="27" t="s">
        <v>68</v>
      </c>
      <c r="G175" s="28">
        <v>6538.3</v>
      </c>
      <c r="H175" s="28"/>
      <c r="I175" s="28"/>
      <c r="J175" s="21"/>
      <c r="K175" s="21"/>
      <c r="L175" s="21"/>
      <c r="M175" s="21"/>
    </row>
    <row r="176" spans="1:13" s="9" customFormat="1" x14ac:dyDescent="0.2">
      <c r="A176" s="11" t="s">
        <v>52</v>
      </c>
      <c r="B176" s="14">
        <v>905</v>
      </c>
      <c r="C176" s="8" t="s">
        <v>51</v>
      </c>
      <c r="D176" s="8"/>
      <c r="E176" s="8"/>
      <c r="F176" s="8"/>
      <c r="G176" s="4">
        <f>G177+G182</f>
        <v>38199.899999999994</v>
      </c>
      <c r="H176" s="4">
        <f>H177+H182</f>
        <v>39122.199999999997</v>
      </c>
      <c r="I176" s="4">
        <f>I177+I182</f>
        <v>40031.899999999994</v>
      </c>
    </row>
    <row r="177" spans="1:13" s="9" customFormat="1" x14ac:dyDescent="0.2">
      <c r="A177" s="11" t="s">
        <v>56</v>
      </c>
      <c r="B177" s="14">
        <v>905</v>
      </c>
      <c r="C177" s="8" t="s">
        <v>51</v>
      </c>
      <c r="D177" s="8" t="s">
        <v>18</v>
      </c>
      <c r="E177" s="8"/>
      <c r="F177" s="8"/>
      <c r="G177" s="4">
        <f>G178+G180</f>
        <v>38169.199999999997</v>
      </c>
      <c r="H177" s="4">
        <f t="shared" ref="H177:I177" si="26">H178+H180</f>
        <v>39091.5</v>
      </c>
      <c r="I177" s="4">
        <f t="shared" si="26"/>
        <v>40001.199999999997</v>
      </c>
    </row>
    <row r="178" spans="1:13" ht="39" customHeight="1" x14ac:dyDescent="0.2">
      <c r="A178" s="18" t="s">
        <v>224</v>
      </c>
      <c r="B178" s="22">
        <v>905</v>
      </c>
      <c r="C178" s="19" t="s">
        <v>51</v>
      </c>
      <c r="D178" s="16" t="s">
        <v>18</v>
      </c>
      <c r="E178" s="19" t="s">
        <v>134</v>
      </c>
      <c r="F178" s="19"/>
      <c r="G178" s="20">
        <f>G179</f>
        <v>26293.5</v>
      </c>
      <c r="H178" s="20">
        <f>H179</f>
        <v>27404.7</v>
      </c>
      <c r="I178" s="20">
        <f>I179</f>
        <v>28500.799999999999</v>
      </c>
    </row>
    <row r="179" spans="1:13" s="29" customFormat="1" ht="25.5" x14ac:dyDescent="0.2">
      <c r="A179" s="31" t="s">
        <v>83</v>
      </c>
      <c r="B179" s="35">
        <v>905</v>
      </c>
      <c r="C179" s="27" t="s">
        <v>51</v>
      </c>
      <c r="D179" s="27" t="s">
        <v>18</v>
      </c>
      <c r="E179" s="19" t="s">
        <v>134</v>
      </c>
      <c r="F179" s="27" t="s">
        <v>71</v>
      </c>
      <c r="G179" s="28">
        <f>26434-140.5</f>
        <v>26293.5</v>
      </c>
      <c r="H179" s="28">
        <f>27564-159.3</f>
        <v>27404.7</v>
      </c>
      <c r="I179" s="28">
        <f>28666.6-165.8</f>
        <v>28500.799999999999</v>
      </c>
      <c r="J179" s="21"/>
      <c r="K179" s="21"/>
      <c r="L179" s="21"/>
      <c r="M179" s="21"/>
    </row>
    <row r="180" spans="1:13" ht="41.25" customHeight="1" x14ac:dyDescent="0.2">
      <c r="A180" s="18" t="s">
        <v>224</v>
      </c>
      <c r="B180" s="18">
        <v>905</v>
      </c>
      <c r="C180" s="19" t="s">
        <v>51</v>
      </c>
      <c r="D180" s="16" t="s">
        <v>18</v>
      </c>
      <c r="E180" s="19" t="s">
        <v>366</v>
      </c>
      <c r="F180" s="19"/>
      <c r="G180" s="20">
        <f>G181</f>
        <v>11875.699999999999</v>
      </c>
      <c r="H180" s="20">
        <f>H181</f>
        <v>11686.800000000001</v>
      </c>
      <c r="I180" s="20">
        <f>I181</f>
        <v>11500.4</v>
      </c>
    </row>
    <row r="181" spans="1:13" ht="25.5" x14ac:dyDescent="0.2">
      <c r="A181" s="31" t="s">
        <v>83</v>
      </c>
      <c r="B181" s="31">
        <v>905</v>
      </c>
      <c r="C181" s="27" t="s">
        <v>51</v>
      </c>
      <c r="D181" s="27" t="s">
        <v>18</v>
      </c>
      <c r="E181" s="19" t="s">
        <v>366</v>
      </c>
      <c r="F181" s="27" t="s">
        <v>71</v>
      </c>
      <c r="G181" s="28">
        <f>11851.8+23.9</f>
        <v>11875.699999999999</v>
      </c>
      <c r="H181" s="28">
        <f>11659.7+27.1</f>
        <v>11686.800000000001</v>
      </c>
      <c r="I181" s="28">
        <f>11472.3+28.1</f>
        <v>11500.4</v>
      </c>
    </row>
    <row r="182" spans="1:13" s="9" customFormat="1" x14ac:dyDescent="0.2">
      <c r="A182" s="11" t="s">
        <v>57</v>
      </c>
      <c r="B182" s="14">
        <v>905</v>
      </c>
      <c r="C182" s="8" t="s">
        <v>51</v>
      </c>
      <c r="D182" s="8" t="s">
        <v>50</v>
      </c>
      <c r="E182" s="8"/>
      <c r="F182" s="8"/>
      <c r="G182" s="4">
        <f t="shared" ref="G182:I183" si="27">G183</f>
        <v>30.7</v>
      </c>
      <c r="H182" s="4">
        <f t="shared" si="27"/>
        <v>30.7</v>
      </c>
      <c r="I182" s="4">
        <f t="shared" si="27"/>
        <v>30.7</v>
      </c>
    </row>
    <row r="183" spans="1:13" x14ac:dyDescent="0.2">
      <c r="A183" s="18" t="s">
        <v>289</v>
      </c>
      <c r="B183" s="22">
        <v>905</v>
      </c>
      <c r="C183" s="19" t="s">
        <v>51</v>
      </c>
      <c r="D183" s="16" t="s">
        <v>50</v>
      </c>
      <c r="E183" s="19" t="s">
        <v>290</v>
      </c>
      <c r="F183" s="19"/>
      <c r="G183" s="20">
        <f t="shared" si="27"/>
        <v>30.7</v>
      </c>
      <c r="H183" s="20">
        <f t="shared" si="27"/>
        <v>30.7</v>
      </c>
      <c r="I183" s="20">
        <f t="shared" si="27"/>
        <v>30.7</v>
      </c>
    </row>
    <row r="184" spans="1:13" s="29" customFormat="1" x14ac:dyDescent="0.2">
      <c r="A184" s="31" t="s">
        <v>72</v>
      </c>
      <c r="B184" s="35">
        <v>905</v>
      </c>
      <c r="C184" s="27" t="s">
        <v>51</v>
      </c>
      <c r="D184" s="27" t="s">
        <v>50</v>
      </c>
      <c r="E184" s="27" t="s">
        <v>290</v>
      </c>
      <c r="F184" s="27" t="s">
        <v>73</v>
      </c>
      <c r="G184" s="28">
        <v>30.7</v>
      </c>
      <c r="H184" s="28">
        <v>30.7</v>
      </c>
      <c r="I184" s="28">
        <v>30.7</v>
      </c>
      <c r="J184" s="21"/>
      <c r="K184" s="21"/>
      <c r="L184" s="21"/>
      <c r="M184" s="21"/>
    </row>
    <row r="185" spans="1:13" s="9" customFormat="1" ht="25.5" x14ac:dyDescent="0.2">
      <c r="A185" s="47" t="s">
        <v>63</v>
      </c>
      <c r="B185" s="44">
        <v>906</v>
      </c>
      <c r="C185" s="48"/>
      <c r="D185" s="48"/>
      <c r="E185" s="48"/>
      <c r="F185" s="48"/>
      <c r="G185" s="46">
        <f t="shared" ref="G185:I186" si="28">G186</f>
        <v>2115.3999999999996</v>
      </c>
      <c r="H185" s="46">
        <f t="shared" si="28"/>
        <v>2115.3999999999996</v>
      </c>
      <c r="I185" s="46">
        <f t="shared" si="28"/>
        <v>2115.3999999999996</v>
      </c>
      <c r="J185" s="72"/>
      <c r="K185" s="72"/>
    </row>
    <row r="186" spans="1:13" s="3" customFormat="1" x14ac:dyDescent="0.2">
      <c r="A186" s="13" t="s">
        <v>60</v>
      </c>
      <c r="B186" s="49">
        <v>906</v>
      </c>
      <c r="C186" s="1" t="s">
        <v>12</v>
      </c>
      <c r="D186" s="1"/>
      <c r="E186" s="1"/>
      <c r="F186" s="1"/>
      <c r="G186" s="2">
        <f t="shared" si="28"/>
        <v>2115.3999999999996</v>
      </c>
      <c r="H186" s="2">
        <f t="shared" si="28"/>
        <v>2115.3999999999996</v>
      </c>
      <c r="I186" s="2">
        <f t="shared" si="28"/>
        <v>2115.3999999999996</v>
      </c>
    </row>
    <row r="187" spans="1:13" s="9" customFormat="1" ht="38.25" x14ac:dyDescent="0.2">
      <c r="A187" s="11" t="s">
        <v>82</v>
      </c>
      <c r="B187" s="14">
        <v>906</v>
      </c>
      <c r="C187" s="8" t="s">
        <v>12</v>
      </c>
      <c r="D187" s="8" t="s">
        <v>50</v>
      </c>
      <c r="E187" s="8"/>
      <c r="F187" s="8"/>
      <c r="G187" s="4">
        <f>G188+G192</f>
        <v>2115.3999999999996</v>
      </c>
      <c r="H187" s="4">
        <f>H188+H192</f>
        <v>2115.3999999999996</v>
      </c>
      <c r="I187" s="4">
        <f>I188+I192</f>
        <v>2115.3999999999996</v>
      </c>
    </row>
    <row r="188" spans="1:13" x14ac:dyDescent="0.2">
      <c r="A188" s="18" t="s">
        <v>226</v>
      </c>
      <c r="B188" s="22">
        <v>906</v>
      </c>
      <c r="C188" s="19" t="s">
        <v>12</v>
      </c>
      <c r="D188" s="19" t="s">
        <v>50</v>
      </c>
      <c r="E188" s="19" t="s">
        <v>225</v>
      </c>
      <c r="F188" s="19"/>
      <c r="G188" s="20">
        <f>+G189+G190+G191</f>
        <v>1560.1</v>
      </c>
      <c r="H188" s="20">
        <f>+H189+H190+H191</f>
        <v>1560.1</v>
      </c>
      <c r="I188" s="20">
        <f>+I189+I190+I191</f>
        <v>1560.1</v>
      </c>
    </row>
    <row r="189" spans="1:13" s="29" customFormat="1" ht="53.25" customHeight="1" x14ac:dyDescent="0.2">
      <c r="A189" s="34" t="s">
        <v>66</v>
      </c>
      <c r="B189" s="36">
        <v>906</v>
      </c>
      <c r="C189" s="27" t="s">
        <v>12</v>
      </c>
      <c r="D189" s="27" t="s">
        <v>50</v>
      </c>
      <c r="E189" s="27" t="s">
        <v>225</v>
      </c>
      <c r="F189" s="30" t="s">
        <v>67</v>
      </c>
      <c r="G189" s="28">
        <f>943.4+284.9+1.1+0.7+11.7</f>
        <v>1241.8</v>
      </c>
      <c r="H189" s="28">
        <f>943.4+284.9+1.1+0.7+11.7</f>
        <v>1241.8</v>
      </c>
      <c r="I189" s="28">
        <f>943.4+284.9+1.1+0.7+11.7</f>
        <v>1241.8</v>
      </c>
      <c r="J189" s="21"/>
      <c r="K189" s="21"/>
      <c r="L189" s="21"/>
      <c r="M189" s="21"/>
    </row>
    <row r="190" spans="1:13" s="29" customFormat="1" ht="25.5" x14ac:dyDescent="0.2">
      <c r="A190" s="31" t="s">
        <v>76</v>
      </c>
      <c r="B190" s="35">
        <v>906</v>
      </c>
      <c r="C190" s="27" t="s">
        <v>12</v>
      </c>
      <c r="D190" s="27" t="s">
        <v>50</v>
      </c>
      <c r="E190" s="27" t="s">
        <v>225</v>
      </c>
      <c r="F190" s="30" t="s">
        <v>68</v>
      </c>
      <c r="G190" s="28">
        <f>190.5-1.1+128.5</f>
        <v>317.89999999999998</v>
      </c>
      <c r="H190" s="28">
        <f>190.5-1.1+128.5</f>
        <v>317.89999999999998</v>
      </c>
      <c r="I190" s="28">
        <f>190.5-1.1+128.5</f>
        <v>317.89999999999998</v>
      </c>
      <c r="J190" s="21"/>
      <c r="K190" s="21"/>
      <c r="L190" s="21"/>
      <c r="M190" s="21"/>
    </row>
    <row r="191" spans="1:13" s="29" customFormat="1" x14ac:dyDescent="0.2">
      <c r="A191" s="31" t="s">
        <v>72</v>
      </c>
      <c r="B191" s="35">
        <v>906</v>
      </c>
      <c r="C191" s="27" t="s">
        <v>12</v>
      </c>
      <c r="D191" s="27" t="s">
        <v>50</v>
      </c>
      <c r="E191" s="27" t="s">
        <v>225</v>
      </c>
      <c r="F191" s="27" t="s">
        <v>73</v>
      </c>
      <c r="G191" s="28">
        <f>0.2+0.2</f>
        <v>0.4</v>
      </c>
      <c r="H191" s="28">
        <f>0.2+0.2</f>
        <v>0.4</v>
      </c>
      <c r="I191" s="28">
        <f>0.2+0.2</f>
        <v>0.4</v>
      </c>
      <c r="J191" s="21"/>
      <c r="K191" s="21"/>
      <c r="L191" s="21"/>
      <c r="M191" s="21"/>
    </row>
    <row r="192" spans="1:13" x14ac:dyDescent="0.2">
      <c r="A192" s="18" t="s">
        <v>227</v>
      </c>
      <c r="B192" s="22">
        <v>906</v>
      </c>
      <c r="C192" s="19" t="s">
        <v>12</v>
      </c>
      <c r="D192" s="19" t="s">
        <v>50</v>
      </c>
      <c r="E192" s="19" t="s">
        <v>228</v>
      </c>
      <c r="F192" s="19"/>
      <c r="G192" s="20">
        <f>G193</f>
        <v>555.29999999999995</v>
      </c>
      <c r="H192" s="20">
        <f>H193</f>
        <v>555.29999999999995</v>
      </c>
      <c r="I192" s="20">
        <f>I193</f>
        <v>555.29999999999995</v>
      </c>
    </row>
    <row r="193" spans="1:9" s="29" customFormat="1" ht="51" customHeight="1" x14ac:dyDescent="0.2">
      <c r="A193" s="34" t="s">
        <v>66</v>
      </c>
      <c r="B193" s="36">
        <v>906</v>
      </c>
      <c r="C193" s="27" t="s">
        <v>12</v>
      </c>
      <c r="D193" s="27" t="s">
        <v>50</v>
      </c>
      <c r="E193" s="27" t="s">
        <v>228</v>
      </c>
      <c r="F193" s="30" t="s">
        <v>67</v>
      </c>
      <c r="G193" s="28">
        <f>422.3+127.6+5.4</f>
        <v>555.29999999999995</v>
      </c>
      <c r="H193" s="28">
        <f>422.3+127.6+5.4</f>
        <v>555.29999999999995</v>
      </c>
      <c r="I193" s="28">
        <f>422.3+127.6+5.4</f>
        <v>555.29999999999995</v>
      </c>
    </row>
    <row r="194" spans="1:9" s="9" customFormat="1" ht="25.5" x14ac:dyDescent="0.2">
      <c r="A194" s="47" t="s">
        <v>77</v>
      </c>
      <c r="B194" s="44">
        <v>907</v>
      </c>
      <c r="C194" s="48"/>
      <c r="D194" s="48"/>
      <c r="E194" s="48"/>
      <c r="F194" s="48"/>
      <c r="G194" s="46">
        <f>G195</f>
        <v>6374.2999999999993</v>
      </c>
      <c r="H194" s="46">
        <f>H195</f>
        <v>6374.2999999999993</v>
      </c>
      <c r="I194" s="46">
        <f>I195</f>
        <v>6374.2999999999993</v>
      </c>
    </row>
    <row r="195" spans="1:9" s="3" customFormat="1" x14ac:dyDescent="0.2">
      <c r="A195" s="13" t="s">
        <v>60</v>
      </c>
      <c r="B195" s="49">
        <v>907</v>
      </c>
      <c r="C195" s="1" t="s">
        <v>12</v>
      </c>
      <c r="D195" s="1"/>
      <c r="E195" s="1"/>
      <c r="F195" s="1"/>
      <c r="G195" s="2">
        <f>G196+G205</f>
        <v>6374.2999999999993</v>
      </c>
      <c r="H195" s="2">
        <f>H196+H205</f>
        <v>6374.2999999999993</v>
      </c>
      <c r="I195" s="2">
        <f>I196+I205</f>
        <v>6374.2999999999993</v>
      </c>
    </row>
    <row r="196" spans="1:9" s="9" customFormat="1" ht="51" x14ac:dyDescent="0.2">
      <c r="A196" s="11" t="s">
        <v>15</v>
      </c>
      <c r="B196" s="14">
        <v>907</v>
      </c>
      <c r="C196" s="8" t="s">
        <v>12</v>
      </c>
      <c r="D196" s="8" t="s">
        <v>16</v>
      </c>
      <c r="E196" s="8"/>
      <c r="F196" s="8"/>
      <c r="G196" s="4">
        <f>G197+G201+G203</f>
        <v>6300.7999999999993</v>
      </c>
      <c r="H196" s="4">
        <f>H197+H201+H203</f>
        <v>6300.7999999999993</v>
      </c>
      <c r="I196" s="4">
        <f>I197+I201+I203</f>
        <v>6300.7999999999993</v>
      </c>
    </row>
    <row r="197" spans="1:9" x14ac:dyDescent="0.2">
      <c r="A197" s="18" t="s">
        <v>226</v>
      </c>
      <c r="B197" s="22">
        <v>907</v>
      </c>
      <c r="C197" s="19" t="s">
        <v>12</v>
      </c>
      <c r="D197" s="19" t="s">
        <v>16</v>
      </c>
      <c r="E197" s="19" t="s">
        <v>225</v>
      </c>
      <c r="F197" s="19"/>
      <c r="G197" s="20">
        <f>G198+G199+G200</f>
        <v>2463.4</v>
      </c>
      <c r="H197" s="20">
        <f>H198+H199+H200</f>
        <v>2463.4</v>
      </c>
      <c r="I197" s="20">
        <f>I198+I199+I200</f>
        <v>2463.4</v>
      </c>
    </row>
    <row r="198" spans="1:9" s="29" customFormat="1" ht="51.75" customHeight="1" x14ac:dyDescent="0.2">
      <c r="A198" s="34" t="s">
        <v>66</v>
      </c>
      <c r="B198" s="36">
        <v>907</v>
      </c>
      <c r="C198" s="27" t="s">
        <v>12</v>
      </c>
      <c r="D198" s="27" t="s">
        <v>16</v>
      </c>
      <c r="E198" s="27" t="s">
        <v>225</v>
      </c>
      <c r="F198" s="30" t="s">
        <v>67</v>
      </c>
      <c r="G198" s="28">
        <f>1684+508.6+20</f>
        <v>2212.6</v>
      </c>
      <c r="H198" s="28">
        <f>1684+508.6+20</f>
        <v>2212.6</v>
      </c>
      <c r="I198" s="28">
        <f>1684+508.6+20</f>
        <v>2212.6</v>
      </c>
    </row>
    <row r="199" spans="1:9" s="29" customFormat="1" ht="25.5" x14ac:dyDescent="0.2">
      <c r="A199" s="31" t="s">
        <v>76</v>
      </c>
      <c r="B199" s="36">
        <v>907</v>
      </c>
      <c r="C199" s="27" t="s">
        <v>12</v>
      </c>
      <c r="D199" s="27" t="s">
        <v>16</v>
      </c>
      <c r="E199" s="27" t="s">
        <v>225</v>
      </c>
      <c r="F199" s="30" t="s">
        <v>68</v>
      </c>
      <c r="G199" s="28">
        <f>65.7+1.5+16.5+7.7+10.7+10+15.1+20.1+101.5</f>
        <v>248.8</v>
      </c>
      <c r="H199" s="28">
        <f>65.7+1.5+16.5+7.7+10.7+10+15.1+20.1+101.5</f>
        <v>248.8</v>
      </c>
      <c r="I199" s="28">
        <f>65.7+1.5+16.5+7.7+10.7+10+15.1+20.1+101.5</f>
        <v>248.8</v>
      </c>
    </row>
    <row r="200" spans="1:9" s="29" customFormat="1" x14ac:dyDescent="0.2">
      <c r="A200" s="31" t="s">
        <v>72</v>
      </c>
      <c r="B200" s="35">
        <v>907</v>
      </c>
      <c r="C200" s="27" t="s">
        <v>12</v>
      </c>
      <c r="D200" s="27" t="s">
        <v>16</v>
      </c>
      <c r="E200" s="27" t="s">
        <v>225</v>
      </c>
      <c r="F200" s="27" t="s">
        <v>73</v>
      </c>
      <c r="G200" s="28">
        <v>2</v>
      </c>
      <c r="H200" s="28">
        <v>2</v>
      </c>
      <c r="I200" s="28">
        <v>2</v>
      </c>
    </row>
    <row r="201" spans="1:9" ht="25.5" x14ac:dyDescent="0.2">
      <c r="A201" s="18" t="s">
        <v>229</v>
      </c>
      <c r="B201" s="22">
        <v>907</v>
      </c>
      <c r="C201" s="19" t="s">
        <v>12</v>
      </c>
      <c r="D201" s="19" t="s">
        <v>16</v>
      </c>
      <c r="E201" s="19" t="s">
        <v>231</v>
      </c>
      <c r="F201" s="19"/>
      <c r="G201" s="20">
        <f>G202</f>
        <v>1316.1000000000001</v>
      </c>
      <c r="H201" s="20">
        <f>H202</f>
        <v>1316.1000000000001</v>
      </c>
      <c r="I201" s="20">
        <f>I202</f>
        <v>1316.1000000000001</v>
      </c>
    </row>
    <row r="202" spans="1:9" s="29" customFormat="1" ht="51.75" customHeight="1" x14ac:dyDescent="0.2">
      <c r="A202" s="34" t="s">
        <v>66</v>
      </c>
      <c r="B202" s="36">
        <v>907</v>
      </c>
      <c r="C202" s="27" t="s">
        <v>12</v>
      </c>
      <c r="D202" s="27" t="s">
        <v>16</v>
      </c>
      <c r="E202" s="27" t="s">
        <v>231</v>
      </c>
      <c r="F202" s="30" t="s">
        <v>67</v>
      </c>
      <c r="G202" s="28">
        <f>1001.1+302.3+12.7</f>
        <v>1316.1000000000001</v>
      </c>
      <c r="H202" s="28">
        <f>1001.1+302.3+12.7</f>
        <v>1316.1000000000001</v>
      </c>
      <c r="I202" s="28">
        <f>1001.1+302.3+12.7</f>
        <v>1316.1000000000001</v>
      </c>
    </row>
    <row r="203" spans="1:9" ht="25.5" x14ac:dyDescent="0.2">
      <c r="A203" s="18" t="s">
        <v>230</v>
      </c>
      <c r="B203" s="22">
        <v>907</v>
      </c>
      <c r="C203" s="19" t="s">
        <v>12</v>
      </c>
      <c r="D203" s="19" t="s">
        <v>16</v>
      </c>
      <c r="E203" s="19" t="s">
        <v>232</v>
      </c>
      <c r="F203" s="19"/>
      <c r="G203" s="20">
        <f>G204</f>
        <v>2521.2999999999997</v>
      </c>
      <c r="H203" s="20">
        <f>H204</f>
        <v>2521.2999999999997</v>
      </c>
      <c r="I203" s="20">
        <f>I204</f>
        <v>2521.2999999999997</v>
      </c>
    </row>
    <row r="204" spans="1:9" s="29" customFormat="1" ht="51" customHeight="1" x14ac:dyDescent="0.2">
      <c r="A204" s="34" t="s">
        <v>66</v>
      </c>
      <c r="B204" s="36">
        <v>907</v>
      </c>
      <c r="C204" s="27" t="s">
        <v>12</v>
      </c>
      <c r="D204" s="27" t="s">
        <v>16</v>
      </c>
      <c r="E204" s="27" t="s">
        <v>232</v>
      </c>
      <c r="F204" s="30" t="s">
        <v>67</v>
      </c>
      <c r="G204" s="28">
        <f>615.8+1710.9+186+8.6</f>
        <v>2521.2999999999997</v>
      </c>
      <c r="H204" s="28">
        <f>615.8+1710.9+186+8.6</f>
        <v>2521.2999999999997</v>
      </c>
      <c r="I204" s="28">
        <f>615.8+1710.9+186+8.6</f>
        <v>2521.2999999999997</v>
      </c>
    </row>
    <row r="205" spans="1:9" s="9" customFormat="1" x14ac:dyDescent="0.2">
      <c r="A205" s="11" t="s">
        <v>24</v>
      </c>
      <c r="B205" s="14">
        <v>907</v>
      </c>
      <c r="C205" s="8" t="s">
        <v>12</v>
      </c>
      <c r="D205" s="8" t="s">
        <v>61</v>
      </c>
      <c r="E205" s="8"/>
      <c r="F205" s="8"/>
      <c r="G205" s="4">
        <f t="shared" ref="G205:I206" si="29">G206</f>
        <v>73.5</v>
      </c>
      <c r="H205" s="4">
        <f t="shared" si="29"/>
        <v>73.5</v>
      </c>
      <c r="I205" s="4">
        <f t="shared" si="29"/>
        <v>73.5</v>
      </c>
    </row>
    <row r="206" spans="1:9" x14ac:dyDescent="0.2">
      <c r="A206" s="18" t="s">
        <v>234</v>
      </c>
      <c r="B206" s="22">
        <v>907</v>
      </c>
      <c r="C206" s="19" t="s">
        <v>12</v>
      </c>
      <c r="D206" s="19" t="s">
        <v>61</v>
      </c>
      <c r="E206" s="19" t="s">
        <v>233</v>
      </c>
      <c r="F206" s="19"/>
      <c r="G206" s="20">
        <f t="shared" si="29"/>
        <v>73.5</v>
      </c>
      <c r="H206" s="20">
        <f t="shared" si="29"/>
        <v>73.5</v>
      </c>
      <c r="I206" s="20">
        <f t="shared" si="29"/>
        <v>73.5</v>
      </c>
    </row>
    <row r="207" spans="1:9" s="29" customFormat="1" x14ac:dyDescent="0.2">
      <c r="A207" s="31" t="s">
        <v>69</v>
      </c>
      <c r="B207" s="35">
        <v>907</v>
      </c>
      <c r="C207" s="27" t="s">
        <v>12</v>
      </c>
      <c r="D207" s="27" t="s">
        <v>61</v>
      </c>
      <c r="E207" s="27" t="s">
        <v>233</v>
      </c>
      <c r="F207" s="27" t="s">
        <v>70</v>
      </c>
      <c r="G207" s="28">
        <v>73.5</v>
      </c>
      <c r="H207" s="28">
        <v>73.5</v>
      </c>
      <c r="I207" s="28">
        <v>73.5</v>
      </c>
    </row>
    <row r="208" spans="1:9" s="9" customFormat="1" ht="25.5" x14ac:dyDescent="0.2">
      <c r="A208" s="47" t="s">
        <v>46</v>
      </c>
      <c r="B208" s="44">
        <v>911</v>
      </c>
      <c r="C208" s="48"/>
      <c r="D208" s="48"/>
      <c r="E208" s="48"/>
      <c r="F208" s="48"/>
      <c r="G208" s="46">
        <f>G209+G289</f>
        <v>1052429.9000000001</v>
      </c>
      <c r="H208" s="46">
        <f>H209+H289</f>
        <v>1052963.3</v>
      </c>
      <c r="I208" s="46">
        <f>I209+I289</f>
        <v>1053131.8999999999</v>
      </c>
    </row>
    <row r="209" spans="1:13" s="3" customFormat="1" x14ac:dyDescent="0.2">
      <c r="A209" s="13" t="s">
        <v>37</v>
      </c>
      <c r="B209" s="49">
        <v>911</v>
      </c>
      <c r="C209" s="1" t="s">
        <v>19</v>
      </c>
      <c r="D209" s="1"/>
      <c r="E209" s="1"/>
      <c r="F209" s="1"/>
      <c r="G209" s="2">
        <f>G210+G222+G251+G256</f>
        <v>999717.50000000012</v>
      </c>
      <c r="H209" s="2">
        <f>H210+H222+H251+H256</f>
        <v>1000162.9000000001</v>
      </c>
      <c r="I209" s="2">
        <f>I210+I222+I251+I256</f>
        <v>1000619.5</v>
      </c>
    </row>
    <row r="210" spans="1:13" s="9" customFormat="1" x14ac:dyDescent="0.2">
      <c r="A210" s="11" t="s">
        <v>38</v>
      </c>
      <c r="B210" s="14">
        <v>911</v>
      </c>
      <c r="C210" s="8" t="s">
        <v>19</v>
      </c>
      <c r="D210" s="8" t="s">
        <v>12</v>
      </c>
      <c r="E210" s="8"/>
      <c r="F210" s="8"/>
      <c r="G210" s="4">
        <f>G211+G213+G217</f>
        <v>351392</v>
      </c>
      <c r="H210" s="4">
        <f t="shared" ref="H210:I210" si="30">H211+H213+H217</f>
        <v>353157.5</v>
      </c>
      <c r="I210" s="4">
        <f t="shared" si="30"/>
        <v>353540.8</v>
      </c>
    </row>
    <row r="211" spans="1:13" x14ac:dyDescent="0.2">
      <c r="A211" s="18" t="s">
        <v>179</v>
      </c>
      <c r="B211" s="22">
        <v>911</v>
      </c>
      <c r="C211" s="19" t="s">
        <v>19</v>
      </c>
      <c r="D211" s="19" t="s">
        <v>12</v>
      </c>
      <c r="E211" s="27" t="s">
        <v>178</v>
      </c>
      <c r="F211" s="19"/>
      <c r="G211" s="20">
        <f>G212</f>
        <v>155.6</v>
      </c>
      <c r="H211" s="20">
        <f>H212</f>
        <v>0</v>
      </c>
      <c r="I211" s="20">
        <f>I212</f>
        <v>0</v>
      </c>
    </row>
    <row r="212" spans="1:13" s="29" customFormat="1" ht="25.5" x14ac:dyDescent="0.2">
      <c r="A212" s="31" t="s">
        <v>83</v>
      </c>
      <c r="B212" s="22">
        <v>911</v>
      </c>
      <c r="C212" s="19" t="s">
        <v>19</v>
      </c>
      <c r="D212" s="19" t="s">
        <v>12</v>
      </c>
      <c r="E212" s="27" t="s">
        <v>178</v>
      </c>
      <c r="F212" s="27" t="s">
        <v>71</v>
      </c>
      <c r="G212" s="28">
        <v>155.6</v>
      </c>
      <c r="H212" s="28"/>
      <c r="I212" s="28"/>
    </row>
    <row r="213" spans="1:13" ht="51" x14ac:dyDescent="0.2">
      <c r="A213" s="88" t="s">
        <v>373</v>
      </c>
      <c r="B213" s="22">
        <v>911</v>
      </c>
      <c r="C213" s="19" t="s">
        <v>19</v>
      </c>
      <c r="D213" s="19" t="s">
        <v>12</v>
      </c>
      <c r="E213" s="19" t="s">
        <v>124</v>
      </c>
      <c r="F213" s="19"/>
      <c r="G213" s="20">
        <f>G216+G214+G215</f>
        <v>216433.3</v>
      </c>
      <c r="H213" s="20">
        <f t="shared" ref="H213:I213" si="31">H216+H214+H215</f>
        <v>216433.3</v>
      </c>
      <c r="I213" s="20">
        <f t="shared" si="31"/>
        <v>216433.3</v>
      </c>
    </row>
    <row r="214" spans="1:13" ht="49.5" customHeight="1" x14ac:dyDescent="0.2">
      <c r="A214" s="34" t="s">
        <v>66</v>
      </c>
      <c r="B214" s="26">
        <v>911</v>
      </c>
      <c r="C214" s="27" t="s">
        <v>19</v>
      </c>
      <c r="D214" s="27" t="s">
        <v>12</v>
      </c>
      <c r="E214" s="27" t="s">
        <v>124</v>
      </c>
      <c r="F214" s="30" t="s">
        <v>67</v>
      </c>
      <c r="G214" s="28">
        <f>21839+6595.4+2952.7+891.7</f>
        <v>32278.800000000003</v>
      </c>
      <c r="H214" s="28">
        <f>21839+6595.4+2952.7+891.7</f>
        <v>32278.800000000003</v>
      </c>
      <c r="I214" s="28">
        <f>21839+6595.4+2952.7+891.7</f>
        <v>32278.800000000003</v>
      </c>
    </row>
    <row r="215" spans="1:13" ht="25.5" x14ac:dyDescent="0.2">
      <c r="A215" s="31" t="s">
        <v>76</v>
      </c>
      <c r="B215" s="26">
        <v>911</v>
      </c>
      <c r="C215" s="27" t="s">
        <v>19</v>
      </c>
      <c r="D215" s="27" t="s">
        <v>12</v>
      </c>
      <c r="E215" s="27" t="s">
        <v>124</v>
      </c>
      <c r="F215" s="30" t="s">
        <v>68</v>
      </c>
      <c r="G215" s="28">
        <f>21+43.7+30+20</f>
        <v>114.7</v>
      </c>
      <c r="H215" s="28">
        <f>21+43.7+30+20</f>
        <v>114.7</v>
      </c>
      <c r="I215" s="28">
        <f>21+43.7+30+20</f>
        <v>114.7</v>
      </c>
    </row>
    <row r="216" spans="1:13" s="29" customFormat="1" ht="25.5" x14ac:dyDescent="0.2">
      <c r="A216" s="31" t="s">
        <v>144</v>
      </c>
      <c r="B216" s="35">
        <v>911</v>
      </c>
      <c r="C216" s="27" t="s">
        <v>19</v>
      </c>
      <c r="D216" s="27" t="s">
        <v>12</v>
      </c>
      <c r="E216" s="27" t="s">
        <v>124</v>
      </c>
      <c r="F216" s="27" t="s">
        <v>65</v>
      </c>
      <c r="G216" s="28">
        <f>111038.5+33533.6+358.5+218.7+150+492.3+12536.5+3786+30+30.3+36.5+75+15013.1+4533.9+1695+511.9</f>
        <v>184039.8</v>
      </c>
      <c r="H216" s="28">
        <f>111038.5+33533.6+358.5+218.7+150+492.3+12536.5+3786+30+30.3+36.5+75+15013.1+4533.9+1695+511.9</f>
        <v>184039.8</v>
      </c>
      <c r="I216" s="28">
        <f>111038.5+33533.6+358.5+218.7+150+492.3+12536.5+3786+30+30.3+36.5+75+15013.1+4533.9+1695+511.9</f>
        <v>184039.8</v>
      </c>
    </row>
    <row r="217" spans="1:13" ht="63.75" x14ac:dyDescent="0.2">
      <c r="A217" s="18" t="s">
        <v>355</v>
      </c>
      <c r="B217" s="22">
        <v>911</v>
      </c>
      <c r="C217" s="19" t="s">
        <v>19</v>
      </c>
      <c r="D217" s="19" t="s">
        <v>12</v>
      </c>
      <c r="E217" s="19" t="s">
        <v>244</v>
      </c>
      <c r="F217" s="19"/>
      <c r="G217" s="20">
        <f>G220+G219+G218+G221</f>
        <v>134803.1</v>
      </c>
      <c r="H217" s="20">
        <f>H220+H219+H218+H221</f>
        <v>136724.19999999998</v>
      </c>
      <c r="I217" s="20">
        <f>I220+I219+I218+I221</f>
        <v>137107.5</v>
      </c>
    </row>
    <row r="218" spans="1:13" ht="53.25" customHeight="1" x14ac:dyDescent="0.2">
      <c r="A218" s="34" t="s">
        <v>66</v>
      </c>
      <c r="B218" s="22">
        <v>911</v>
      </c>
      <c r="C218" s="19" t="s">
        <v>19</v>
      </c>
      <c r="D218" s="19" t="s">
        <v>12</v>
      </c>
      <c r="E218" s="19" t="s">
        <v>244</v>
      </c>
      <c r="F218" s="19" t="s">
        <v>67</v>
      </c>
      <c r="G218" s="20">
        <f>11713.1+1122.7+103.8+245.8</f>
        <v>13185.4</v>
      </c>
      <c r="H218" s="20">
        <f>11713.1+103.8+324.7</f>
        <v>12141.6</v>
      </c>
      <c r="I218" s="20">
        <f>11713.1+103.8+405.4</f>
        <v>12222.3</v>
      </c>
    </row>
    <row r="219" spans="1:13" ht="25.5" x14ac:dyDescent="0.2">
      <c r="A219" s="31" t="s">
        <v>76</v>
      </c>
      <c r="B219" s="26">
        <v>911</v>
      </c>
      <c r="C219" s="27" t="s">
        <v>19</v>
      </c>
      <c r="D219" s="27" t="s">
        <v>12</v>
      </c>
      <c r="E219" s="27" t="s">
        <v>244</v>
      </c>
      <c r="F219" s="30" t="s">
        <v>68</v>
      </c>
      <c r="G219" s="28">
        <f>4493.7+3188</f>
        <v>7681.7</v>
      </c>
      <c r="H219" s="28">
        <f>4493.7+3188</f>
        <v>7681.7</v>
      </c>
      <c r="I219" s="28">
        <f>4493.7+3188</f>
        <v>7681.7</v>
      </c>
    </row>
    <row r="220" spans="1:13" s="29" customFormat="1" ht="25.5" x14ac:dyDescent="0.2">
      <c r="A220" s="31" t="s">
        <v>144</v>
      </c>
      <c r="B220" s="35">
        <v>911</v>
      </c>
      <c r="C220" s="27" t="s">
        <v>19</v>
      </c>
      <c r="D220" s="27" t="s">
        <v>12</v>
      </c>
      <c r="E220" s="27" t="s">
        <v>244</v>
      </c>
      <c r="F220" s="27" t="s">
        <v>65</v>
      </c>
      <c r="G220" s="28">
        <f>113285.5-1122.7+737+920.2</f>
        <v>113820</v>
      </c>
      <c r="H220" s="28">
        <f>114832.4+737+1215.5</f>
        <v>116784.9</v>
      </c>
      <c r="I220" s="28">
        <f>114832.4+737+1518.1</f>
        <v>117087.5</v>
      </c>
      <c r="J220" s="21"/>
      <c r="K220" s="21"/>
      <c r="L220" s="21"/>
      <c r="M220" s="21"/>
    </row>
    <row r="221" spans="1:13" s="29" customFormat="1" x14ac:dyDescent="0.2">
      <c r="A221" s="31" t="s">
        <v>72</v>
      </c>
      <c r="B221" s="35">
        <v>911</v>
      </c>
      <c r="C221" s="27" t="s">
        <v>19</v>
      </c>
      <c r="D221" s="27" t="s">
        <v>12</v>
      </c>
      <c r="E221" s="27" t="s">
        <v>244</v>
      </c>
      <c r="F221" s="27" t="s">
        <v>73</v>
      </c>
      <c r="G221" s="28">
        <v>116</v>
      </c>
      <c r="H221" s="28">
        <v>116</v>
      </c>
      <c r="I221" s="28">
        <v>116</v>
      </c>
      <c r="J221" s="21"/>
      <c r="K221" s="21"/>
      <c r="L221" s="21"/>
      <c r="M221" s="21"/>
    </row>
    <row r="222" spans="1:13" s="9" customFormat="1" x14ac:dyDescent="0.2">
      <c r="A222" s="11" t="s">
        <v>39</v>
      </c>
      <c r="B222" s="14">
        <v>911</v>
      </c>
      <c r="C222" s="8" t="s">
        <v>19</v>
      </c>
      <c r="D222" s="8" t="s">
        <v>14</v>
      </c>
      <c r="E222" s="8"/>
      <c r="F222" s="8"/>
      <c r="G222" s="4">
        <f>G223+G227+G231+G233+G235+G239+G248+G245+G242</f>
        <v>452453.20000000007</v>
      </c>
      <c r="H222" s="4">
        <f t="shared" ref="H222:I222" si="32">H223+H227+H231+H233+H235+H239+H248+H245+H242</f>
        <v>454697.50000000012</v>
      </c>
      <c r="I222" s="4">
        <f t="shared" si="32"/>
        <v>454697.50000000012</v>
      </c>
    </row>
    <row r="223" spans="1:13" ht="24.75" customHeight="1" x14ac:dyDescent="0.2">
      <c r="A223" s="18" t="s">
        <v>235</v>
      </c>
      <c r="B223" s="22">
        <v>911</v>
      </c>
      <c r="C223" s="19" t="s">
        <v>19</v>
      </c>
      <c r="D223" s="19" t="s">
        <v>14</v>
      </c>
      <c r="E223" s="19" t="s">
        <v>122</v>
      </c>
      <c r="F223" s="19"/>
      <c r="G223" s="20">
        <f>G224+G225+G226</f>
        <v>49380.800000000003</v>
      </c>
      <c r="H223" s="20">
        <f>H224+H225+H226</f>
        <v>49380.800000000003</v>
      </c>
      <c r="I223" s="20">
        <f>I224+I225+I226</f>
        <v>49380.800000000003</v>
      </c>
    </row>
    <row r="224" spans="1:13" s="29" customFormat="1" ht="50.25" customHeight="1" x14ac:dyDescent="0.2">
      <c r="A224" s="26" t="s">
        <v>66</v>
      </c>
      <c r="B224" s="35">
        <v>911</v>
      </c>
      <c r="C224" s="27" t="s">
        <v>19</v>
      </c>
      <c r="D224" s="27" t="s">
        <v>14</v>
      </c>
      <c r="E224" s="27" t="s">
        <v>122</v>
      </c>
      <c r="F224" s="30" t="s">
        <v>67</v>
      </c>
      <c r="G224" s="28">
        <f>29001.8+8758.5+5+114.5+34.6</f>
        <v>37914.400000000001</v>
      </c>
      <c r="H224" s="28">
        <f>29001.8+8758.5+5+114.5+34.6</f>
        <v>37914.400000000001</v>
      </c>
      <c r="I224" s="28">
        <f>29001.8+8758.5+5+114.5+34.6</f>
        <v>37914.400000000001</v>
      </c>
      <c r="J224" s="21"/>
      <c r="K224" s="21"/>
      <c r="L224" s="21"/>
      <c r="M224" s="21"/>
    </row>
    <row r="225" spans="1:13" s="29" customFormat="1" ht="24.75" customHeight="1" x14ac:dyDescent="0.2">
      <c r="A225" s="31" t="s">
        <v>76</v>
      </c>
      <c r="B225" s="35">
        <v>911</v>
      </c>
      <c r="C225" s="27" t="s">
        <v>19</v>
      </c>
      <c r="D225" s="27" t="s">
        <v>14</v>
      </c>
      <c r="E225" s="27" t="s">
        <v>122</v>
      </c>
      <c r="F225" s="30" t="s">
        <v>68</v>
      </c>
      <c r="G225" s="28">
        <f>28+351.8+2783.6+779.5+95.3+26.1+11+722.2+4314.7+20+960.5+142+350.6+30+36.1</f>
        <v>10651.400000000001</v>
      </c>
      <c r="H225" s="28">
        <f>28+351.8+2783.6+779.5+95.3+26.1+11+722.2+4314.7+20+960.5+142+350.6+30+36.1</f>
        <v>10651.400000000001</v>
      </c>
      <c r="I225" s="28">
        <f>28+351.8+2783.6+779.5+95.3+26.1+11+722.2+4314.7+20+960.5+142+350.6+30+36.1</f>
        <v>10651.400000000001</v>
      </c>
      <c r="J225" s="21"/>
      <c r="K225" s="21"/>
      <c r="L225" s="21"/>
      <c r="M225" s="21"/>
    </row>
    <row r="226" spans="1:13" s="29" customFormat="1" x14ac:dyDescent="0.2">
      <c r="A226" s="31" t="s">
        <v>72</v>
      </c>
      <c r="B226" s="35">
        <v>911</v>
      </c>
      <c r="C226" s="27" t="s">
        <v>19</v>
      </c>
      <c r="D226" s="27" t="s">
        <v>14</v>
      </c>
      <c r="E226" s="27" t="s">
        <v>122</v>
      </c>
      <c r="F226" s="27" t="s">
        <v>73</v>
      </c>
      <c r="G226" s="28">
        <f>5+800+5+5</f>
        <v>815</v>
      </c>
      <c r="H226" s="28">
        <f>5+800+5+5</f>
        <v>815</v>
      </c>
      <c r="I226" s="28">
        <f>5+800+5+5</f>
        <v>815</v>
      </c>
      <c r="J226" s="21"/>
      <c r="K226" s="21"/>
      <c r="L226" s="21"/>
      <c r="M226" s="21"/>
    </row>
    <row r="227" spans="1:13" ht="76.5" x14ac:dyDescent="0.2">
      <c r="A227" s="18" t="s">
        <v>236</v>
      </c>
      <c r="B227" s="22">
        <v>911</v>
      </c>
      <c r="C227" s="19" t="s">
        <v>19</v>
      </c>
      <c r="D227" s="19" t="s">
        <v>14</v>
      </c>
      <c r="E227" s="19" t="s">
        <v>120</v>
      </c>
      <c r="F227" s="19"/>
      <c r="G227" s="20">
        <f>G230+G228+G229</f>
        <v>350381.30000000005</v>
      </c>
      <c r="H227" s="20">
        <f>H230+H228+H229</f>
        <v>350381.30000000005</v>
      </c>
      <c r="I227" s="20">
        <f>I230+I228+I229</f>
        <v>350381.30000000005</v>
      </c>
    </row>
    <row r="228" spans="1:13" s="29" customFormat="1" ht="63.75" x14ac:dyDescent="0.2">
      <c r="A228" s="26" t="s">
        <v>66</v>
      </c>
      <c r="B228" s="35">
        <v>911</v>
      </c>
      <c r="C228" s="27" t="s">
        <v>19</v>
      </c>
      <c r="D228" s="27" t="s">
        <v>14</v>
      </c>
      <c r="E228" s="27" t="s">
        <v>120</v>
      </c>
      <c r="F228" s="30" t="s">
        <v>67</v>
      </c>
      <c r="G228" s="28">
        <f>46870+14154.7+3692+1114.9</f>
        <v>65831.599999999991</v>
      </c>
      <c r="H228" s="28">
        <f>46870+14154.7+3692+1114.9</f>
        <v>65831.599999999991</v>
      </c>
      <c r="I228" s="28">
        <f>46870+14154.7+3692+1114.9</f>
        <v>65831.599999999991</v>
      </c>
      <c r="J228" s="21"/>
      <c r="K228" s="21"/>
      <c r="L228" s="21"/>
      <c r="M228" s="21"/>
    </row>
    <row r="229" spans="1:13" s="29" customFormat="1" ht="25.5" x14ac:dyDescent="0.2">
      <c r="A229" s="31" t="s">
        <v>76</v>
      </c>
      <c r="B229" s="35">
        <v>911</v>
      </c>
      <c r="C229" s="27" t="s">
        <v>19</v>
      </c>
      <c r="D229" s="27" t="s">
        <v>14</v>
      </c>
      <c r="E229" s="27" t="s">
        <v>120</v>
      </c>
      <c r="F229" s="30" t="s">
        <v>68</v>
      </c>
      <c r="G229" s="28">
        <f>1570.2+6.9+51.2+40.4+9+78.5</f>
        <v>1756.2000000000003</v>
      </c>
      <c r="H229" s="28">
        <f>1570.2+6.9+51.2+40.4+9+78.5</f>
        <v>1756.2000000000003</v>
      </c>
      <c r="I229" s="28">
        <f>1570.2+6.9+51.2+40.4+9+78.5</f>
        <v>1756.2000000000003</v>
      </c>
      <c r="J229" s="21"/>
      <c r="K229" s="21"/>
      <c r="L229" s="21"/>
      <c r="M229" s="21"/>
    </row>
    <row r="230" spans="1:13" s="29" customFormat="1" ht="25.5" x14ac:dyDescent="0.2">
      <c r="A230" s="31" t="s">
        <v>144</v>
      </c>
      <c r="B230" s="35">
        <v>911</v>
      </c>
      <c r="C230" s="27" t="s">
        <v>19</v>
      </c>
      <c r="D230" s="27" t="s">
        <v>14</v>
      </c>
      <c r="E230" s="27" t="s">
        <v>120</v>
      </c>
      <c r="F230" s="27" t="s">
        <v>65</v>
      </c>
      <c r="G230" s="28">
        <f>182265.5+55044.2+1832.9+360+227.2+20.8+135+2800.5+14983+4524.9+24.4+19.9+41.1+15+251.7+14357+4335.8+17.6+1180.2+356.4+0.4</f>
        <v>282793.50000000006</v>
      </c>
      <c r="H230" s="28">
        <f>182265.5+55044.2+1832.9+360+227.2+20.8+135+2800.5+14983+4524.9+24.4+19.9+41.1+15+251.7+14357+4335.8+17.6+1180.2+356.4+0.4</f>
        <v>282793.50000000006</v>
      </c>
      <c r="I230" s="28">
        <f>182265.5+55044.2+1832.9+360+227.2+20.8+135+2800.5+14983+4524.9+24.4+19.9+41.1+15+251.7+14357+4335.8+17.6+1180.2+356.4+0.4</f>
        <v>282793.50000000006</v>
      </c>
      <c r="J230" s="21"/>
      <c r="K230" s="21"/>
      <c r="L230" s="21"/>
      <c r="M230" s="21"/>
    </row>
    <row r="231" spans="1:13" ht="38.25" x14ac:dyDescent="0.2">
      <c r="A231" s="18" t="s">
        <v>237</v>
      </c>
      <c r="B231" s="22">
        <v>911</v>
      </c>
      <c r="C231" s="19" t="s">
        <v>19</v>
      </c>
      <c r="D231" s="19" t="s">
        <v>14</v>
      </c>
      <c r="E231" s="19" t="s">
        <v>121</v>
      </c>
      <c r="F231" s="19"/>
      <c r="G231" s="20">
        <f>G232</f>
        <v>3738</v>
      </c>
      <c r="H231" s="20">
        <f>H232</f>
        <v>3738</v>
      </c>
      <c r="I231" s="20">
        <f>I232</f>
        <v>3738</v>
      </c>
    </row>
    <row r="232" spans="1:13" s="29" customFormat="1" ht="25.5" x14ac:dyDescent="0.2">
      <c r="A232" s="31" t="s">
        <v>76</v>
      </c>
      <c r="B232" s="35">
        <v>911</v>
      </c>
      <c r="C232" s="27" t="s">
        <v>19</v>
      </c>
      <c r="D232" s="27" t="s">
        <v>14</v>
      </c>
      <c r="E232" s="27" t="s">
        <v>121</v>
      </c>
      <c r="F232" s="30" t="s">
        <v>68</v>
      </c>
      <c r="G232" s="28">
        <v>3738</v>
      </c>
      <c r="H232" s="28">
        <v>3738</v>
      </c>
      <c r="I232" s="28">
        <v>3738</v>
      </c>
      <c r="J232" s="21"/>
      <c r="K232" s="21"/>
      <c r="L232" s="21"/>
      <c r="M232" s="21"/>
    </row>
    <row r="233" spans="1:13" ht="63.75" x14ac:dyDescent="0.2">
      <c r="A233" s="18" t="s">
        <v>355</v>
      </c>
      <c r="B233" s="22">
        <v>911</v>
      </c>
      <c r="C233" s="19" t="s">
        <v>19</v>
      </c>
      <c r="D233" s="19" t="s">
        <v>14</v>
      </c>
      <c r="E233" s="19" t="s">
        <v>239</v>
      </c>
      <c r="F233" s="19"/>
      <c r="G233" s="20">
        <f>G234</f>
        <v>39251.1</v>
      </c>
      <c r="H233" s="20">
        <f>H234</f>
        <v>41495.4</v>
      </c>
      <c r="I233" s="20">
        <f>I234</f>
        <v>41495.4</v>
      </c>
    </row>
    <row r="234" spans="1:13" s="29" customFormat="1" ht="25.5" x14ac:dyDescent="0.2">
      <c r="A234" s="31" t="s">
        <v>144</v>
      </c>
      <c r="B234" s="35">
        <v>911</v>
      </c>
      <c r="C234" s="27" t="s">
        <v>19</v>
      </c>
      <c r="D234" s="27" t="s">
        <v>14</v>
      </c>
      <c r="E234" s="27" t="s">
        <v>239</v>
      </c>
      <c r="F234" s="27" t="s">
        <v>65</v>
      </c>
      <c r="G234" s="28">
        <v>39251.1</v>
      </c>
      <c r="H234" s="28">
        <v>41495.4</v>
      </c>
      <c r="I234" s="28">
        <v>41495.4</v>
      </c>
      <c r="J234" s="21"/>
      <c r="K234" s="21"/>
      <c r="L234" s="21"/>
      <c r="M234" s="21"/>
    </row>
    <row r="235" spans="1:13" ht="63.75" x14ac:dyDescent="0.2">
      <c r="A235" s="18" t="s">
        <v>242</v>
      </c>
      <c r="B235" s="22">
        <v>911</v>
      </c>
      <c r="C235" s="19" t="s">
        <v>19</v>
      </c>
      <c r="D235" s="19" t="s">
        <v>14</v>
      </c>
      <c r="E235" s="19" t="s">
        <v>241</v>
      </c>
      <c r="F235" s="19"/>
      <c r="G235" s="20">
        <f>G236+G237+G238</f>
        <v>7181.9000000000005</v>
      </c>
      <c r="H235" s="20">
        <f>H236+H237+H238</f>
        <v>7181.9000000000005</v>
      </c>
      <c r="I235" s="20">
        <f>I236+I237+I238</f>
        <v>7181.9000000000005</v>
      </c>
    </row>
    <row r="236" spans="1:13" s="29" customFormat="1" ht="54.75" customHeight="1" x14ac:dyDescent="0.2">
      <c r="A236" s="34" t="s">
        <v>66</v>
      </c>
      <c r="B236" s="36">
        <v>911</v>
      </c>
      <c r="C236" s="27" t="s">
        <v>19</v>
      </c>
      <c r="D236" s="27" t="s">
        <v>14</v>
      </c>
      <c r="E236" s="27" t="s">
        <v>241</v>
      </c>
      <c r="F236" s="30" t="s">
        <v>67</v>
      </c>
      <c r="G236" s="28">
        <v>4.5999999999999996</v>
      </c>
      <c r="H236" s="28">
        <v>4.5999999999999996</v>
      </c>
      <c r="I236" s="28">
        <v>4.5999999999999996</v>
      </c>
    </row>
    <row r="237" spans="1:13" s="29" customFormat="1" ht="25.5" x14ac:dyDescent="0.2">
      <c r="A237" s="31" t="s">
        <v>76</v>
      </c>
      <c r="B237" s="36">
        <v>911</v>
      </c>
      <c r="C237" s="27" t="s">
        <v>19</v>
      </c>
      <c r="D237" s="27" t="s">
        <v>14</v>
      </c>
      <c r="E237" s="27" t="s">
        <v>241</v>
      </c>
      <c r="F237" s="30" t="s">
        <v>68</v>
      </c>
      <c r="G237" s="28">
        <f>7177.3-474.5</f>
        <v>6702.8</v>
      </c>
      <c r="H237" s="28">
        <f>7177.3-474.5</f>
        <v>6702.8</v>
      </c>
      <c r="I237" s="28">
        <f>7177.3-474.5</f>
        <v>6702.8</v>
      </c>
    </row>
    <row r="238" spans="1:13" s="29" customFormat="1" x14ac:dyDescent="0.2">
      <c r="A238" s="31" t="s">
        <v>72</v>
      </c>
      <c r="B238" s="35">
        <v>911</v>
      </c>
      <c r="C238" s="27" t="s">
        <v>19</v>
      </c>
      <c r="D238" s="27" t="s">
        <v>14</v>
      </c>
      <c r="E238" s="27" t="s">
        <v>241</v>
      </c>
      <c r="F238" s="27" t="s">
        <v>73</v>
      </c>
      <c r="G238" s="28">
        <v>474.5</v>
      </c>
      <c r="H238" s="28">
        <v>474.5</v>
      </c>
      <c r="I238" s="28">
        <v>474.5</v>
      </c>
    </row>
    <row r="239" spans="1:13" ht="63.75" x14ac:dyDescent="0.2">
      <c r="A239" s="18" t="s">
        <v>242</v>
      </c>
      <c r="B239" s="22">
        <v>911</v>
      </c>
      <c r="C239" s="19" t="s">
        <v>19</v>
      </c>
      <c r="D239" s="19" t="s">
        <v>14</v>
      </c>
      <c r="E239" s="19" t="s">
        <v>245</v>
      </c>
      <c r="F239" s="19"/>
      <c r="G239" s="20">
        <f>G240+G241</f>
        <v>834.4</v>
      </c>
      <c r="H239" s="20">
        <f>H240+H241</f>
        <v>834.4</v>
      </c>
      <c r="I239" s="20">
        <f>I240+I241</f>
        <v>834.4</v>
      </c>
    </row>
    <row r="240" spans="1:13" s="29" customFormat="1" ht="25.5" x14ac:dyDescent="0.2">
      <c r="A240" s="31" t="s">
        <v>76</v>
      </c>
      <c r="B240" s="36">
        <v>911</v>
      </c>
      <c r="C240" s="27" t="s">
        <v>19</v>
      </c>
      <c r="D240" s="27" t="s">
        <v>14</v>
      </c>
      <c r="E240" s="27" t="s">
        <v>245</v>
      </c>
      <c r="F240" s="30" t="s">
        <v>68</v>
      </c>
      <c r="G240" s="28">
        <f>564.4+200</f>
        <v>764.4</v>
      </c>
      <c r="H240" s="28">
        <f>564.4+200</f>
        <v>764.4</v>
      </c>
      <c r="I240" s="28">
        <f>564.4+200</f>
        <v>764.4</v>
      </c>
    </row>
    <row r="241" spans="1:13" s="29" customFormat="1" x14ac:dyDescent="0.2">
      <c r="A241" s="31" t="s">
        <v>72</v>
      </c>
      <c r="B241" s="35">
        <v>911</v>
      </c>
      <c r="C241" s="27" t="s">
        <v>19</v>
      </c>
      <c r="D241" s="27" t="s">
        <v>14</v>
      </c>
      <c r="E241" s="27" t="s">
        <v>245</v>
      </c>
      <c r="F241" s="27" t="s">
        <v>73</v>
      </c>
      <c r="G241" s="28">
        <f>70</f>
        <v>70</v>
      </c>
      <c r="H241" s="28">
        <f>70</f>
        <v>70</v>
      </c>
      <c r="I241" s="28">
        <f>70</f>
        <v>70</v>
      </c>
    </row>
    <row r="242" spans="1:13" ht="25.5" x14ac:dyDescent="0.2">
      <c r="A242" s="18" t="s">
        <v>238</v>
      </c>
      <c r="B242" s="18">
        <v>911</v>
      </c>
      <c r="C242" s="19" t="s">
        <v>19</v>
      </c>
      <c r="D242" s="19" t="s">
        <v>14</v>
      </c>
      <c r="E242" s="19" t="s">
        <v>139</v>
      </c>
      <c r="F242" s="19"/>
      <c r="G242" s="20">
        <f>G244+G243</f>
        <v>249.70000000000005</v>
      </c>
      <c r="H242" s="20">
        <f t="shared" ref="H242:I242" si="33">H244+H243</f>
        <v>249.70000000000005</v>
      </c>
      <c r="I242" s="20">
        <f t="shared" si="33"/>
        <v>249.70000000000005</v>
      </c>
    </row>
    <row r="243" spans="1:13" s="29" customFormat="1" ht="25.5" x14ac:dyDescent="0.2">
      <c r="A243" s="31" t="s">
        <v>76</v>
      </c>
      <c r="B243" s="31">
        <v>911</v>
      </c>
      <c r="C243" s="27" t="s">
        <v>19</v>
      </c>
      <c r="D243" s="27" t="s">
        <v>14</v>
      </c>
      <c r="E243" s="27" t="s">
        <v>139</v>
      </c>
      <c r="F243" s="30" t="s">
        <v>68</v>
      </c>
      <c r="G243" s="28">
        <f>29.5+28.2</f>
        <v>57.7</v>
      </c>
      <c r="H243" s="28">
        <f>29.5+28.2</f>
        <v>57.7</v>
      </c>
      <c r="I243" s="28">
        <f>29.5+28.2</f>
        <v>57.7</v>
      </c>
    </row>
    <row r="244" spans="1:13" ht="25.5" x14ac:dyDescent="0.2">
      <c r="A244" s="31" t="s">
        <v>144</v>
      </c>
      <c r="B244" s="31">
        <v>911</v>
      </c>
      <c r="C244" s="27" t="s">
        <v>19</v>
      </c>
      <c r="D244" s="27" t="s">
        <v>14</v>
      </c>
      <c r="E244" s="27" t="s">
        <v>139</v>
      </c>
      <c r="F244" s="27" t="s">
        <v>65</v>
      </c>
      <c r="G244" s="28">
        <f>88.4+84.4+9.8+9.4</f>
        <v>192.00000000000003</v>
      </c>
      <c r="H244" s="28">
        <f t="shared" ref="H244:I244" si="34">88.4+84.4+9.8+9.4</f>
        <v>192.00000000000003</v>
      </c>
      <c r="I244" s="28">
        <f t="shared" si="34"/>
        <v>192.00000000000003</v>
      </c>
    </row>
    <row r="245" spans="1:13" ht="25.5" x14ac:dyDescent="0.2">
      <c r="A245" s="18" t="s">
        <v>243</v>
      </c>
      <c r="B245" s="18">
        <v>911</v>
      </c>
      <c r="C245" s="19" t="s">
        <v>19</v>
      </c>
      <c r="D245" s="19" t="s">
        <v>14</v>
      </c>
      <c r="E245" s="19" t="s">
        <v>140</v>
      </c>
      <c r="F245" s="19"/>
      <c r="G245" s="20">
        <f>G247+G246</f>
        <v>1186</v>
      </c>
      <c r="H245" s="20">
        <f>H247+H246</f>
        <v>1186</v>
      </c>
      <c r="I245" s="20">
        <f>I247+I246</f>
        <v>1186</v>
      </c>
    </row>
    <row r="246" spans="1:13" s="9" customFormat="1" x14ac:dyDescent="0.2">
      <c r="A246" s="31" t="s">
        <v>69</v>
      </c>
      <c r="B246" s="31">
        <v>911</v>
      </c>
      <c r="C246" s="27" t="s">
        <v>19</v>
      </c>
      <c r="D246" s="27" t="s">
        <v>14</v>
      </c>
      <c r="E246" s="19" t="s">
        <v>140</v>
      </c>
      <c r="F246" s="27" t="s">
        <v>70</v>
      </c>
      <c r="G246" s="28">
        <v>50</v>
      </c>
      <c r="H246" s="28">
        <v>50</v>
      </c>
      <c r="I246" s="28">
        <v>50</v>
      </c>
    </row>
    <row r="247" spans="1:13" ht="25.5" x14ac:dyDescent="0.2">
      <c r="A247" s="31" t="s">
        <v>144</v>
      </c>
      <c r="B247" s="31">
        <v>911</v>
      </c>
      <c r="C247" s="27" t="s">
        <v>19</v>
      </c>
      <c r="D247" s="27" t="s">
        <v>14</v>
      </c>
      <c r="E247" s="19" t="s">
        <v>140</v>
      </c>
      <c r="F247" s="27" t="s">
        <v>65</v>
      </c>
      <c r="G247" s="28">
        <f>992.5+143.5</f>
        <v>1136</v>
      </c>
      <c r="H247" s="28">
        <f>992.5+143.5</f>
        <v>1136</v>
      </c>
      <c r="I247" s="28">
        <f>992.5+143.5</f>
        <v>1136</v>
      </c>
    </row>
    <row r="248" spans="1:13" ht="25.5" x14ac:dyDescent="0.2">
      <c r="A248" s="18" t="s">
        <v>359</v>
      </c>
      <c r="B248" s="18">
        <v>911</v>
      </c>
      <c r="C248" s="19" t="s">
        <v>19</v>
      </c>
      <c r="D248" s="19" t="s">
        <v>14</v>
      </c>
      <c r="E248" s="19" t="s">
        <v>340</v>
      </c>
      <c r="F248" s="19"/>
      <c r="G248" s="20">
        <f>G250+G249</f>
        <v>250</v>
      </c>
      <c r="H248" s="20">
        <f>H250+H249</f>
        <v>250</v>
      </c>
      <c r="I248" s="20">
        <f>I250+I249</f>
        <v>250</v>
      </c>
    </row>
    <row r="249" spans="1:13" x14ac:dyDescent="0.2">
      <c r="A249" s="31" t="s">
        <v>69</v>
      </c>
      <c r="B249" s="31">
        <v>911</v>
      </c>
      <c r="C249" s="27" t="s">
        <v>19</v>
      </c>
      <c r="D249" s="27" t="s">
        <v>14</v>
      </c>
      <c r="E249" s="19" t="s">
        <v>340</v>
      </c>
      <c r="F249" s="27" t="s">
        <v>70</v>
      </c>
      <c r="G249" s="28">
        <v>2</v>
      </c>
      <c r="H249" s="28">
        <v>2</v>
      </c>
      <c r="I249" s="28">
        <v>2</v>
      </c>
    </row>
    <row r="250" spans="1:13" ht="25.5" x14ac:dyDescent="0.2">
      <c r="A250" s="31" t="s">
        <v>144</v>
      </c>
      <c r="B250" s="31">
        <v>911</v>
      </c>
      <c r="C250" s="27" t="s">
        <v>19</v>
      </c>
      <c r="D250" s="27" t="s">
        <v>14</v>
      </c>
      <c r="E250" s="19" t="s">
        <v>340</v>
      </c>
      <c r="F250" s="27" t="s">
        <v>65</v>
      </c>
      <c r="G250" s="28">
        <v>248</v>
      </c>
      <c r="H250" s="28">
        <v>248</v>
      </c>
      <c r="I250" s="28">
        <v>248</v>
      </c>
    </row>
    <row r="251" spans="1:13" s="9" customFormat="1" x14ac:dyDescent="0.2">
      <c r="A251" s="11" t="s">
        <v>341</v>
      </c>
      <c r="B251" s="14">
        <v>911</v>
      </c>
      <c r="C251" s="8" t="s">
        <v>19</v>
      </c>
      <c r="D251" s="8" t="s">
        <v>16</v>
      </c>
      <c r="E251" s="8"/>
      <c r="F251" s="8"/>
      <c r="G251" s="4">
        <f>G254+G252</f>
        <v>122443.50000000001</v>
      </c>
      <c r="H251" s="4">
        <f>H254+H252</f>
        <v>122514.70000000001</v>
      </c>
      <c r="I251" s="4">
        <f>I254+I252</f>
        <v>122588.00000000001</v>
      </c>
    </row>
    <row r="252" spans="1:13" ht="25.5" x14ac:dyDescent="0.2">
      <c r="A252" s="18" t="s">
        <v>238</v>
      </c>
      <c r="B252" s="18">
        <v>911</v>
      </c>
      <c r="C252" s="19" t="s">
        <v>19</v>
      </c>
      <c r="D252" s="19" t="s">
        <v>16</v>
      </c>
      <c r="E252" s="19" t="s">
        <v>139</v>
      </c>
      <c r="F252" s="19"/>
      <c r="G252" s="20">
        <f>G253</f>
        <v>115.3</v>
      </c>
      <c r="H252" s="20">
        <f t="shared" ref="H252:I252" si="35">H253</f>
        <v>115.3</v>
      </c>
      <c r="I252" s="20">
        <f t="shared" si="35"/>
        <v>115.3</v>
      </c>
    </row>
    <row r="253" spans="1:13" ht="25.5" x14ac:dyDescent="0.2">
      <c r="A253" s="31" t="s">
        <v>144</v>
      </c>
      <c r="B253" s="31">
        <v>911</v>
      </c>
      <c r="C253" s="27" t="s">
        <v>19</v>
      </c>
      <c r="D253" s="27" t="s">
        <v>16</v>
      </c>
      <c r="E253" s="27" t="s">
        <v>139</v>
      </c>
      <c r="F253" s="27" t="s">
        <v>65</v>
      </c>
      <c r="G253" s="28">
        <f>59+56.3</f>
        <v>115.3</v>
      </c>
      <c r="H253" s="28">
        <f t="shared" ref="H253:I253" si="36">59+56.3</f>
        <v>115.3</v>
      </c>
      <c r="I253" s="28">
        <f t="shared" si="36"/>
        <v>115.3</v>
      </c>
    </row>
    <row r="254" spans="1:13" ht="63.75" x14ac:dyDescent="0.2">
      <c r="A254" s="18" t="s">
        <v>355</v>
      </c>
      <c r="B254" s="22">
        <v>911</v>
      </c>
      <c r="C254" s="19" t="s">
        <v>19</v>
      </c>
      <c r="D254" s="19" t="s">
        <v>16</v>
      </c>
      <c r="E254" s="19" t="s">
        <v>240</v>
      </c>
      <c r="F254" s="19"/>
      <c r="G254" s="20">
        <f>G255</f>
        <v>122328.20000000001</v>
      </c>
      <c r="H254" s="20">
        <f>H255</f>
        <v>122399.40000000001</v>
      </c>
      <c r="I254" s="20">
        <f>I255</f>
        <v>122472.70000000001</v>
      </c>
    </row>
    <row r="255" spans="1:13" s="29" customFormat="1" ht="25.5" x14ac:dyDescent="0.2">
      <c r="A255" s="31" t="s">
        <v>144</v>
      </c>
      <c r="B255" s="35">
        <v>911</v>
      </c>
      <c r="C255" s="27" t="s">
        <v>19</v>
      </c>
      <c r="D255" s="27" t="s">
        <v>16</v>
      </c>
      <c r="E255" s="27" t="s">
        <v>240</v>
      </c>
      <c r="F255" s="27" t="s">
        <v>65</v>
      </c>
      <c r="G255" s="28">
        <f>118343.6+387.1+3597.5</f>
        <v>122328.20000000001</v>
      </c>
      <c r="H255" s="28">
        <f>118343.6+387.1+3668.7</f>
        <v>122399.40000000001</v>
      </c>
      <c r="I255" s="28">
        <f>118343.6+387.1+3742</f>
        <v>122472.70000000001</v>
      </c>
      <c r="J255" s="21"/>
      <c r="K255" s="21"/>
      <c r="L255" s="21"/>
      <c r="M255" s="21"/>
    </row>
    <row r="256" spans="1:13" s="9" customFormat="1" x14ac:dyDescent="0.2">
      <c r="A256" s="11" t="s">
        <v>41</v>
      </c>
      <c r="B256" s="14">
        <v>911</v>
      </c>
      <c r="C256" s="8" t="s">
        <v>19</v>
      </c>
      <c r="D256" s="8" t="s">
        <v>26</v>
      </c>
      <c r="E256" s="8"/>
      <c r="F256" s="8"/>
      <c r="G256" s="4">
        <f>G262+G264+G267+G271+G274+G276+G279+G282+G284+G257+G259</f>
        <v>73428.800000000003</v>
      </c>
      <c r="H256" s="4">
        <f t="shared" ref="H256:I256" si="37">H262+H264+H267+H271+H274+H276+H279+H282+H284+H257+H259</f>
        <v>69793.200000000012</v>
      </c>
      <c r="I256" s="4">
        <f t="shared" si="37"/>
        <v>69793.200000000012</v>
      </c>
    </row>
    <row r="257" spans="1:9" x14ac:dyDescent="0.2">
      <c r="A257" s="18" t="s">
        <v>179</v>
      </c>
      <c r="B257" s="22">
        <v>911</v>
      </c>
      <c r="C257" s="19" t="s">
        <v>19</v>
      </c>
      <c r="D257" s="19" t="s">
        <v>26</v>
      </c>
      <c r="E257" s="27" t="s">
        <v>178</v>
      </c>
      <c r="F257" s="19"/>
      <c r="G257" s="20">
        <f>G258</f>
        <v>2457.8000000000002</v>
      </c>
      <c r="H257" s="20">
        <f>H258</f>
        <v>0</v>
      </c>
      <c r="I257" s="20">
        <f>I258</f>
        <v>0</v>
      </c>
    </row>
    <row r="258" spans="1:9" s="29" customFormat="1" ht="25.5" x14ac:dyDescent="0.2">
      <c r="A258" s="31" t="s">
        <v>83</v>
      </c>
      <c r="B258" s="22">
        <v>911</v>
      </c>
      <c r="C258" s="19" t="s">
        <v>19</v>
      </c>
      <c r="D258" s="19" t="s">
        <v>26</v>
      </c>
      <c r="E258" s="27" t="s">
        <v>178</v>
      </c>
      <c r="F258" s="27" t="s">
        <v>71</v>
      </c>
      <c r="G258" s="28">
        <v>2457.8000000000002</v>
      </c>
      <c r="H258" s="28"/>
      <c r="I258" s="28"/>
    </row>
    <row r="259" spans="1:9" ht="25.5" x14ac:dyDescent="0.2">
      <c r="A259" s="18" t="s">
        <v>193</v>
      </c>
      <c r="B259" s="18">
        <v>911</v>
      </c>
      <c r="C259" s="19" t="s">
        <v>19</v>
      </c>
      <c r="D259" s="19" t="s">
        <v>26</v>
      </c>
      <c r="E259" s="19" t="s">
        <v>138</v>
      </c>
      <c r="F259" s="19"/>
      <c r="G259" s="20">
        <f>G261+G260</f>
        <v>3814.6</v>
      </c>
      <c r="H259" s="20">
        <f t="shared" ref="H259:I259" si="38">H261+H260</f>
        <v>3814.6</v>
      </c>
      <c r="I259" s="20">
        <f t="shared" si="38"/>
        <v>3814.6</v>
      </c>
    </row>
    <row r="260" spans="1:9" ht="25.5" x14ac:dyDescent="0.2">
      <c r="A260" s="31" t="s">
        <v>76</v>
      </c>
      <c r="B260" s="31">
        <v>911</v>
      </c>
      <c r="C260" s="27" t="s">
        <v>19</v>
      </c>
      <c r="D260" s="27" t="s">
        <v>26</v>
      </c>
      <c r="E260" s="27" t="s">
        <v>138</v>
      </c>
      <c r="F260" s="27" t="s">
        <v>68</v>
      </c>
      <c r="G260" s="28">
        <v>87</v>
      </c>
      <c r="H260" s="28">
        <v>87</v>
      </c>
      <c r="I260" s="28">
        <v>87</v>
      </c>
    </row>
    <row r="261" spans="1:9" ht="25.5" x14ac:dyDescent="0.2">
      <c r="A261" s="31" t="s">
        <v>144</v>
      </c>
      <c r="B261" s="31">
        <v>911</v>
      </c>
      <c r="C261" s="27" t="s">
        <v>19</v>
      </c>
      <c r="D261" s="27" t="s">
        <v>26</v>
      </c>
      <c r="E261" s="27" t="s">
        <v>138</v>
      </c>
      <c r="F261" s="27" t="s">
        <v>65</v>
      </c>
      <c r="G261" s="28">
        <f>3412.6+315</f>
        <v>3727.6</v>
      </c>
      <c r="H261" s="28">
        <f>3412.6+315</f>
        <v>3727.6</v>
      </c>
      <c r="I261" s="28">
        <f>3412.6+315</f>
        <v>3727.6</v>
      </c>
    </row>
    <row r="262" spans="1:9" ht="63.75" x14ac:dyDescent="0.2">
      <c r="A262" s="18" t="s">
        <v>242</v>
      </c>
      <c r="B262" s="22">
        <v>911</v>
      </c>
      <c r="C262" s="19" t="s">
        <v>19</v>
      </c>
      <c r="D262" s="19" t="s">
        <v>26</v>
      </c>
      <c r="E262" s="19" t="s">
        <v>246</v>
      </c>
      <c r="F262" s="19"/>
      <c r="G262" s="20">
        <f>G263</f>
        <v>4150.8999999999996</v>
      </c>
      <c r="H262" s="20">
        <f>H263</f>
        <v>4150.8999999999996</v>
      </c>
      <c r="I262" s="20">
        <f>I263</f>
        <v>4150.8999999999996</v>
      </c>
    </row>
    <row r="263" spans="1:9" s="29" customFormat="1" ht="25.5" x14ac:dyDescent="0.2">
      <c r="A263" s="31" t="s">
        <v>144</v>
      </c>
      <c r="B263" s="35">
        <v>911</v>
      </c>
      <c r="C263" s="27" t="s">
        <v>19</v>
      </c>
      <c r="D263" s="27" t="s">
        <v>26</v>
      </c>
      <c r="E263" s="27" t="s">
        <v>246</v>
      </c>
      <c r="F263" s="27" t="s">
        <v>65</v>
      </c>
      <c r="G263" s="28">
        <v>4150.8999999999996</v>
      </c>
      <c r="H263" s="28">
        <v>4150.8999999999996</v>
      </c>
      <c r="I263" s="28">
        <v>4150.8999999999996</v>
      </c>
    </row>
    <row r="264" spans="1:9" ht="25.5" x14ac:dyDescent="0.2">
      <c r="A264" s="18" t="s">
        <v>356</v>
      </c>
      <c r="B264" s="22">
        <v>911</v>
      </c>
      <c r="C264" s="19" t="s">
        <v>19</v>
      </c>
      <c r="D264" s="19" t="s">
        <v>26</v>
      </c>
      <c r="E264" s="19" t="s">
        <v>247</v>
      </c>
      <c r="F264" s="19"/>
      <c r="G264" s="20">
        <f>G265+G266</f>
        <v>171.1</v>
      </c>
      <c r="H264" s="20">
        <f>H265+H266</f>
        <v>171.1</v>
      </c>
      <c r="I264" s="20">
        <f>I265+I266</f>
        <v>171.1</v>
      </c>
    </row>
    <row r="265" spans="1:9" s="29" customFormat="1" ht="25.5" x14ac:dyDescent="0.2">
      <c r="A265" s="31" t="s">
        <v>76</v>
      </c>
      <c r="B265" s="35">
        <v>911</v>
      </c>
      <c r="C265" s="27" t="s">
        <v>19</v>
      </c>
      <c r="D265" s="27" t="s">
        <v>26</v>
      </c>
      <c r="E265" s="27" t="s">
        <v>247</v>
      </c>
      <c r="F265" s="27" t="s">
        <v>68</v>
      </c>
      <c r="G265" s="28">
        <v>41</v>
      </c>
      <c r="H265" s="28">
        <v>41</v>
      </c>
      <c r="I265" s="28">
        <v>41</v>
      </c>
    </row>
    <row r="266" spans="1:9" s="29" customFormat="1" ht="25.5" x14ac:dyDescent="0.2">
      <c r="A266" s="31" t="s">
        <v>144</v>
      </c>
      <c r="B266" s="35">
        <v>911</v>
      </c>
      <c r="C266" s="27" t="s">
        <v>19</v>
      </c>
      <c r="D266" s="27" t="s">
        <v>26</v>
      </c>
      <c r="E266" s="27" t="s">
        <v>247</v>
      </c>
      <c r="F266" s="27" t="s">
        <v>65</v>
      </c>
      <c r="G266" s="28">
        <v>130.1</v>
      </c>
      <c r="H266" s="28">
        <v>130.1</v>
      </c>
      <c r="I266" s="28">
        <v>130.1</v>
      </c>
    </row>
    <row r="267" spans="1:9" ht="25.5" x14ac:dyDescent="0.2">
      <c r="A267" s="18" t="s">
        <v>356</v>
      </c>
      <c r="B267" s="22">
        <v>911</v>
      </c>
      <c r="C267" s="19" t="s">
        <v>19</v>
      </c>
      <c r="D267" s="19" t="s">
        <v>26</v>
      </c>
      <c r="E267" s="19" t="s">
        <v>195</v>
      </c>
      <c r="F267" s="19"/>
      <c r="G267" s="20">
        <f>G270+G269+G268</f>
        <v>1497.5</v>
      </c>
      <c r="H267" s="20">
        <f>H270+H269+H268</f>
        <v>319.7</v>
      </c>
      <c r="I267" s="20">
        <f>I270+I269+I268</f>
        <v>319.7</v>
      </c>
    </row>
    <row r="268" spans="1:9" s="29" customFormat="1" ht="25.5" x14ac:dyDescent="0.2">
      <c r="A268" s="31" t="s">
        <v>76</v>
      </c>
      <c r="B268" s="35">
        <v>911</v>
      </c>
      <c r="C268" s="27" t="s">
        <v>19</v>
      </c>
      <c r="D268" s="27" t="s">
        <v>26</v>
      </c>
      <c r="E268" s="27" t="s">
        <v>195</v>
      </c>
      <c r="F268" s="27" t="s">
        <v>68</v>
      </c>
      <c r="G268" s="28">
        <v>4</v>
      </c>
      <c r="H268" s="28">
        <v>4</v>
      </c>
      <c r="I268" s="28">
        <v>4</v>
      </c>
    </row>
    <row r="269" spans="1:9" s="29" customFormat="1" x14ac:dyDescent="0.2">
      <c r="A269" s="31" t="s">
        <v>69</v>
      </c>
      <c r="B269" s="35">
        <v>911</v>
      </c>
      <c r="C269" s="27" t="s">
        <v>19</v>
      </c>
      <c r="D269" s="27" t="s">
        <v>26</v>
      </c>
      <c r="E269" s="27" t="s">
        <v>195</v>
      </c>
      <c r="F269" s="27" t="s">
        <v>70</v>
      </c>
      <c r="G269" s="28">
        <v>1177.8</v>
      </c>
      <c r="H269" s="28">
        <v>0</v>
      </c>
      <c r="I269" s="28">
        <v>0</v>
      </c>
    </row>
    <row r="270" spans="1:9" s="29" customFormat="1" ht="25.5" x14ac:dyDescent="0.2">
      <c r="A270" s="31" t="s">
        <v>144</v>
      </c>
      <c r="B270" s="35">
        <v>911</v>
      </c>
      <c r="C270" s="27" t="s">
        <v>19</v>
      </c>
      <c r="D270" s="27" t="s">
        <v>26</v>
      </c>
      <c r="E270" s="27" t="s">
        <v>195</v>
      </c>
      <c r="F270" s="27" t="s">
        <v>65</v>
      </c>
      <c r="G270" s="28">
        <v>315.7</v>
      </c>
      <c r="H270" s="28">
        <v>315.7</v>
      </c>
      <c r="I270" s="28">
        <v>315.7</v>
      </c>
    </row>
    <row r="271" spans="1:9" ht="51" x14ac:dyDescent="0.2">
      <c r="A271" s="18" t="s">
        <v>358</v>
      </c>
      <c r="B271" s="22">
        <v>911</v>
      </c>
      <c r="C271" s="19" t="s">
        <v>19</v>
      </c>
      <c r="D271" s="19" t="s">
        <v>26</v>
      </c>
      <c r="E271" s="19" t="s">
        <v>248</v>
      </c>
      <c r="F271" s="19"/>
      <c r="G271" s="20">
        <f>G272+G273</f>
        <v>491.4</v>
      </c>
      <c r="H271" s="20">
        <f>H272+H273</f>
        <v>491.4</v>
      </c>
      <c r="I271" s="20">
        <f>I272+I273</f>
        <v>491.4</v>
      </c>
    </row>
    <row r="272" spans="1:9" s="29" customFormat="1" ht="49.5" customHeight="1" x14ac:dyDescent="0.2">
      <c r="A272" s="34" t="s">
        <v>66</v>
      </c>
      <c r="B272" s="36">
        <v>911</v>
      </c>
      <c r="C272" s="27" t="s">
        <v>19</v>
      </c>
      <c r="D272" s="27" t="s">
        <v>26</v>
      </c>
      <c r="E272" s="27" t="s">
        <v>248</v>
      </c>
      <c r="F272" s="30" t="s">
        <v>67</v>
      </c>
      <c r="G272" s="28">
        <v>36.9</v>
      </c>
      <c r="H272" s="28">
        <v>36.9</v>
      </c>
      <c r="I272" s="28">
        <v>36.9</v>
      </c>
    </row>
    <row r="273" spans="1:13" s="29" customFormat="1" ht="25.5" x14ac:dyDescent="0.2">
      <c r="A273" s="31" t="s">
        <v>144</v>
      </c>
      <c r="B273" s="35">
        <v>911</v>
      </c>
      <c r="C273" s="27" t="s">
        <v>19</v>
      </c>
      <c r="D273" s="27" t="s">
        <v>26</v>
      </c>
      <c r="E273" s="27" t="s">
        <v>248</v>
      </c>
      <c r="F273" s="27" t="s">
        <v>65</v>
      </c>
      <c r="G273" s="28">
        <v>454.5</v>
      </c>
      <c r="H273" s="28">
        <v>454.5</v>
      </c>
      <c r="I273" s="28">
        <v>454.5</v>
      </c>
    </row>
    <row r="274" spans="1:13" ht="25.5" x14ac:dyDescent="0.2">
      <c r="A274" s="18" t="s">
        <v>250</v>
      </c>
      <c r="B274" s="22">
        <v>911</v>
      </c>
      <c r="C274" s="19" t="s">
        <v>19</v>
      </c>
      <c r="D274" s="19" t="s">
        <v>26</v>
      </c>
      <c r="E274" s="19" t="s">
        <v>249</v>
      </c>
      <c r="F274" s="19"/>
      <c r="G274" s="20">
        <f>G275</f>
        <v>430.5</v>
      </c>
      <c r="H274" s="20">
        <f t="shared" ref="H274:I274" si="39">H275</f>
        <v>430.5</v>
      </c>
      <c r="I274" s="20">
        <f t="shared" si="39"/>
        <v>430.5</v>
      </c>
    </row>
    <row r="275" spans="1:13" s="29" customFormat="1" ht="25.5" x14ac:dyDescent="0.2">
      <c r="A275" s="31" t="s">
        <v>144</v>
      </c>
      <c r="B275" s="35">
        <v>911</v>
      </c>
      <c r="C275" s="27" t="s">
        <v>19</v>
      </c>
      <c r="D275" s="27" t="s">
        <v>26</v>
      </c>
      <c r="E275" s="27" t="s">
        <v>249</v>
      </c>
      <c r="F275" s="27" t="s">
        <v>65</v>
      </c>
      <c r="G275" s="28">
        <v>430.5</v>
      </c>
      <c r="H275" s="28">
        <v>430.5</v>
      </c>
      <c r="I275" s="28">
        <v>430.5</v>
      </c>
    </row>
    <row r="276" spans="1:13" ht="25.5" x14ac:dyDescent="0.2">
      <c r="A276" s="18" t="s">
        <v>251</v>
      </c>
      <c r="B276" s="22">
        <v>911</v>
      </c>
      <c r="C276" s="5" t="s">
        <v>19</v>
      </c>
      <c r="D276" s="5" t="s">
        <v>26</v>
      </c>
      <c r="E276" s="5" t="s">
        <v>123</v>
      </c>
      <c r="F276" s="19"/>
      <c r="G276" s="20">
        <f>G277+G278</f>
        <v>2354.3000000000002</v>
      </c>
      <c r="H276" s="20">
        <f>H277+H278</f>
        <v>2354.3000000000002</v>
      </c>
      <c r="I276" s="20">
        <f>I277+I278</f>
        <v>2354.3000000000002</v>
      </c>
    </row>
    <row r="277" spans="1:13" s="29" customFormat="1" ht="51" customHeight="1" x14ac:dyDescent="0.2">
      <c r="A277" s="26" t="s">
        <v>66</v>
      </c>
      <c r="B277" s="35">
        <v>911</v>
      </c>
      <c r="C277" s="27" t="s">
        <v>19</v>
      </c>
      <c r="D277" s="27" t="s">
        <v>26</v>
      </c>
      <c r="E277" s="27" t="s">
        <v>123</v>
      </c>
      <c r="F277" s="30" t="s">
        <v>67</v>
      </c>
      <c r="G277" s="28">
        <f>1464.5+442.3+2+19</f>
        <v>1927.8</v>
      </c>
      <c r="H277" s="28">
        <f>1464.5+442.3+2+19</f>
        <v>1927.8</v>
      </c>
      <c r="I277" s="28">
        <f>1464.5+442.3+2+19</f>
        <v>1927.8</v>
      </c>
      <c r="J277" s="21"/>
      <c r="K277" s="21"/>
      <c r="L277" s="21"/>
      <c r="M277" s="21"/>
    </row>
    <row r="278" spans="1:13" s="29" customFormat="1" ht="25.5" x14ac:dyDescent="0.2">
      <c r="A278" s="31" t="s">
        <v>76</v>
      </c>
      <c r="B278" s="76">
        <v>911</v>
      </c>
      <c r="C278" s="27" t="s">
        <v>19</v>
      </c>
      <c r="D278" s="27" t="s">
        <v>26</v>
      </c>
      <c r="E278" s="27" t="s">
        <v>123</v>
      </c>
      <c r="F278" s="30" t="s">
        <v>68</v>
      </c>
      <c r="G278" s="28">
        <f>10+150+100+166.5</f>
        <v>426.5</v>
      </c>
      <c r="H278" s="28">
        <f>10+150+100+166.5</f>
        <v>426.5</v>
      </c>
      <c r="I278" s="28">
        <f>10+150+100+166.5</f>
        <v>426.5</v>
      </c>
      <c r="J278" s="21"/>
      <c r="K278" s="21"/>
      <c r="L278" s="21"/>
      <c r="M278" s="21"/>
    </row>
    <row r="279" spans="1:13" ht="25.5" x14ac:dyDescent="0.2">
      <c r="A279" s="18" t="s">
        <v>360</v>
      </c>
      <c r="B279" s="22">
        <v>911</v>
      </c>
      <c r="C279" s="19" t="s">
        <v>19</v>
      </c>
      <c r="D279" s="19" t="s">
        <v>26</v>
      </c>
      <c r="E279" s="19" t="s">
        <v>252</v>
      </c>
      <c r="F279" s="19"/>
      <c r="G279" s="20">
        <f>G280+G281</f>
        <v>3563.4</v>
      </c>
      <c r="H279" s="20">
        <f>H280+H281</f>
        <v>3563.4</v>
      </c>
      <c r="I279" s="20">
        <f>I280+I281</f>
        <v>3563.4</v>
      </c>
    </row>
    <row r="280" spans="1:13" s="29" customFormat="1" ht="51" customHeight="1" x14ac:dyDescent="0.2">
      <c r="A280" s="26" t="s">
        <v>66</v>
      </c>
      <c r="B280" s="35">
        <v>911</v>
      </c>
      <c r="C280" s="27" t="s">
        <v>19</v>
      </c>
      <c r="D280" s="27" t="s">
        <v>26</v>
      </c>
      <c r="E280" s="27" t="s">
        <v>252</v>
      </c>
      <c r="F280" s="30" t="s">
        <v>67</v>
      </c>
      <c r="G280" s="28">
        <f>3479.7+33.3</f>
        <v>3513</v>
      </c>
      <c r="H280" s="28">
        <f>3479.7+33.3</f>
        <v>3513</v>
      </c>
      <c r="I280" s="28">
        <f>3479.7+33.3</f>
        <v>3513</v>
      </c>
      <c r="J280" s="21"/>
      <c r="K280" s="21"/>
      <c r="L280" s="21"/>
      <c r="M280" s="21"/>
    </row>
    <row r="281" spans="1:13" s="29" customFormat="1" ht="25.5" x14ac:dyDescent="0.2">
      <c r="A281" s="31" t="s">
        <v>76</v>
      </c>
      <c r="B281" s="35">
        <v>911</v>
      </c>
      <c r="C281" s="27" t="s">
        <v>19</v>
      </c>
      <c r="D281" s="27" t="s">
        <v>26</v>
      </c>
      <c r="E281" s="27" t="s">
        <v>252</v>
      </c>
      <c r="F281" s="30" t="s">
        <v>68</v>
      </c>
      <c r="G281" s="28">
        <v>50.4</v>
      </c>
      <c r="H281" s="28">
        <v>50.4</v>
      </c>
      <c r="I281" s="28">
        <v>50.4</v>
      </c>
      <c r="J281" s="21"/>
      <c r="K281" s="21"/>
      <c r="L281" s="21"/>
      <c r="M281" s="21"/>
    </row>
    <row r="282" spans="1:13" ht="25.5" x14ac:dyDescent="0.2">
      <c r="A282" s="18" t="s">
        <v>360</v>
      </c>
      <c r="B282" s="22">
        <v>911</v>
      </c>
      <c r="C282" s="19" t="s">
        <v>19</v>
      </c>
      <c r="D282" s="19" t="s">
        <v>26</v>
      </c>
      <c r="E282" s="19" t="s">
        <v>253</v>
      </c>
      <c r="F282" s="19"/>
      <c r="G282" s="20">
        <f>G283</f>
        <v>16913.600000000002</v>
      </c>
      <c r="H282" s="20">
        <f>H283</f>
        <v>16913.600000000002</v>
      </c>
      <c r="I282" s="20">
        <f>I283</f>
        <v>16913.600000000002</v>
      </c>
    </row>
    <row r="283" spans="1:13" s="29" customFormat="1" ht="25.5" x14ac:dyDescent="0.2">
      <c r="A283" s="31" t="s">
        <v>144</v>
      </c>
      <c r="B283" s="35">
        <v>911</v>
      </c>
      <c r="C283" s="27" t="s">
        <v>19</v>
      </c>
      <c r="D283" s="27" t="s">
        <v>26</v>
      </c>
      <c r="E283" s="27" t="s">
        <v>253</v>
      </c>
      <c r="F283" s="27" t="s">
        <v>65</v>
      </c>
      <c r="G283" s="28">
        <f>16766.2+147.4</f>
        <v>16913.600000000002</v>
      </c>
      <c r="H283" s="28">
        <f t="shared" ref="H283:I283" si="40">16766.2+147.4</f>
        <v>16913.600000000002</v>
      </c>
      <c r="I283" s="28">
        <f t="shared" si="40"/>
        <v>16913.600000000002</v>
      </c>
      <c r="J283" s="21"/>
      <c r="K283" s="21"/>
      <c r="L283" s="21"/>
      <c r="M283" s="21"/>
    </row>
    <row r="284" spans="1:13" ht="25.5" x14ac:dyDescent="0.2">
      <c r="A284" s="18" t="s">
        <v>360</v>
      </c>
      <c r="B284" s="22">
        <v>911</v>
      </c>
      <c r="C284" s="19" t="s">
        <v>19</v>
      </c>
      <c r="D284" s="19" t="s">
        <v>26</v>
      </c>
      <c r="E284" s="19" t="s">
        <v>254</v>
      </c>
      <c r="F284" s="19"/>
      <c r="G284" s="20">
        <f>G285+G286+G287+G288</f>
        <v>37583.699999999997</v>
      </c>
      <c r="H284" s="20">
        <f>H285+H286+H287+H288</f>
        <v>37583.699999999997</v>
      </c>
      <c r="I284" s="20">
        <f>I285+I286+I287+I288</f>
        <v>37583.699999999997</v>
      </c>
    </row>
    <row r="285" spans="1:13" s="29" customFormat="1" ht="51.75" customHeight="1" x14ac:dyDescent="0.2">
      <c r="A285" s="34" t="s">
        <v>66</v>
      </c>
      <c r="B285" s="36">
        <v>911</v>
      </c>
      <c r="C285" s="27" t="s">
        <v>19</v>
      </c>
      <c r="D285" s="27" t="s">
        <v>26</v>
      </c>
      <c r="E285" s="27" t="s">
        <v>254</v>
      </c>
      <c r="F285" s="30" t="s">
        <v>67</v>
      </c>
      <c r="G285" s="28">
        <f>10646+102.3</f>
        <v>10748.3</v>
      </c>
      <c r="H285" s="28">
        <f>10646+102.3</f>
        <v>10748.3</v>
      </c>
      <c r="I285" s="28">
        <f>10646+102.3</f>
        <v>10748.3</v>
      </c>
    </row>
    <row r="286" spans="1:13" s="29" customFormat="1" ht="25.5" x14ac:dyDescent="0.2">
      <c r="A286" s="31" t="s">
        <v>76</v>
      </c>
      <c r="B286" s="36">
        <v>911</v>
      </c>
      <c r="C286" s="27" t="s">
        <v>19</v>
      </c>
      <c r="D286" s="27" t="s">
        <v>26</v>
      </c>
      <c r="E286" s="27" t="s">
        <v>254</v>
      </c>
      <c r="F286" s="30" t="s">
        <v>68</v>
      </c>
      <c r="G286" s="28">
        <v>287</v>
      </c>
      <c r="H286" s="28">
        <v>287</v>
      </c>
      <c r="I286" s="28">
        <v>287</v>
      </c>
    </row>
    <row r="287" spans="1:13" s="29" customFormat="1" ht="25.5" x14ac:dyDescent="0.2">
      <c r="A287" s="31" t="s">
        <v>144</v>
      </c>
      <c r="B287" s="35">
        <v>911</v>
      </c>
      <c r="C287" s="27" t="s">
        <v>19</v>
      </c>
      <c r="D287" s="27" t="s">
        <v>26</v>
      </c>
      <c r="E287" s="27" t="s">
        <v>254</v>
      </c>
      <c r="F287" s="27" t="s">
        <v>65</v>
      </c>
      <c r="G287" s="28">
        <f>26235.2+213.2</f>
        <v>26448.400000000001</v>
      </c>
      <c r="H287" s="28">
        <f>26235.2+213.2</f>
        <v>26448.400000000001</v>
      </c>
      <c r="I287" s="28">
        <f>26235.2+213.2</f>
        <v>26448.400000000001</v>
      </c>
      <c r="J287" s="21"/>
      <c r="K287" s="21"/>
      <c r="L287" s="21"/>
      <c r="M287" s="21"/>
    </row>
    <row r="288" spans="1:13" s="29" customFormat="1" x14ac:dyDescent="0.2">
      <c r="A288" s="31" t="s">
        <v>72</v>
      </c>
      <c r="B288" s="35">
        <v>911</v>
      </c>
      <c r="C288" s="27" t="s">
        <v>19</v>
      </c>
      <c r="D288" s="27" t="s">
        <v>26</v>
      </c>
      <c r="E288" s="27" t="s">
        <v>254</v>
      </c>
      <c r="F288" s="27" t="s">
        <v>73</v>
      </c>
      <c r="G288" s="28">
        <v>100</v>
      </c>
      <c r="H288" s="28">
        <v>100</v>
      </c>
      <c r="I288" s="28">
        <v>100</v>
      </c>
      <c r="J288" s="21"/>
      <c r="K288" s="21"/>
      <c r="L288" s="21"/>
      <c r="M288" s="21"/>
    </row>
    <row r="289" spans="1:15" s="3" customFormat="1" x14ac:dyDescent="0.2">
      <c r="A289" s="13" t="s">
        <v>52</v>
      </c>
      <c r="B289" s="49">
        <v>911</v>
      </c>
      <c r="C289" s="1" t="s">
        <v>51</v>
      </c>
      <c r="D289" s="1"/>
      <c r="E289" s="1"/>
      <c r="F289" s="1"/>
      <c r="G289" s="2">
        <f>G290+G307</f>
        <v>52712.4</v>
      </c>
      <c r="H289" s="2">
        <f>H290+H307</f>
        <v>52800.4</v>
      </c>
      <c r="I289" s="2">
        <f>I290+I307</f>
        <v>52512.4</v>
      </c>
    </row>
    <row r="290" spans="1:15" s="9" customFormat="1" x14ac:dyDescent="0.2">
      <c r="A290" s="11" t="s">
        <v>55</v>
      </c>
      <c r="B290" s="14">
        <v>911</v>
      </c>
      <c r="C290" s="8" t="s">
        <v>51</v>
      </c>
      <c r="D290" s="8" t="s">
        <v>16</v>
      </c>
      <c r="E290" s="8"/>
      <c r="F290" s="8"/>
      <c r="G290" s="4">
        <f>G291+G296+G298+G294+G303+G305+G300</f>
        <v>11916.4</v>
      </c>
      <c r="H290" s="4">
        <f>H291+H296+H298+H294+H303+H305+H300</f>
        <v>11916.4</v>
      </c>
      <c r="I290" s="4">
        <f>I291+I296+I298+I294+I303+I305+I300</f>
        <v>11916.4</v>
      </c>
    </row>
    <row r="291" spans="1:15" ht="25.5" x14ac:dyDescent="0.2">
      <c r="A291" s="88" t="s">
        <v>374</v>
      </c>
      <c r="B291" s="22">
        <v>911</v>
      </c>
      <c r="C291" s="19" t="s">
        <v>51</v>
      </c>
      <c r="D291" s="19" t="s">
        <v>16</v>
      </c>
      <c r="E291" s="19" t="s">
        <v>86</v>
      </c>
      <c r="F291" s="19"/>
      <c r="G291" s="20">
        <f>G293+G292</f>
        <v>1615</v>
      </c>
      <c r="H291" s="20">
        <f>H293+H292</f>
        <v>1615</v>
      </c>
      <c r="I291" s="20">
        <f>I293+I292</f>
        <v>1615</v>
      </c>
    </row>
    <row r="292" spans="1:15" x14ac:dyDescent="0.2">
      <c r="A292" s="87" t="s">
        <v>69</v>
      </c>
      <c r="B292" s="26">
        <v>911</v>
      </c>
      <c r="C292" s="27" t="s">
        <v>51</v>
      </c>
      <c r="D292" s="27" t="s">
        <v>16</v>
      </c>
      <c r="E292" s="27" t="s">
        <v>86</v>
      </c>
      <c r="F292" s="30" t="s">
        <v>70</v>
      </c>
      <c r="G292" s="28">
        <f>35.6</f>
        <v>35.6</v>
      </c>
      <c r="H292" s="28">
        <f>35.6</f>
        <v>35.6</v>
      </c>
      <c r="I292" s="28">
        <f>35.6</f>
        <v>35.6</v>
      </c>
    </row>
    <row r="293" spans="1:15" s="29" customFormat="1" ht="25.5" x14ac:dyDescent="0.2">
      <c r="A293" s="31" t="s">
        <v>144</v>
      </c>
      <c r="B293" s="35">
        <v>911</v>
      </c>
      <c r="C293" s="27" t="s">
        <v>51</v>
      </c>
      <c r="D293" s="27" t="s">
        <v>16</v>
      </c>
      <c r="E293" s="27" t="s">
        <v>86</v>
      </c>
      <c r="F293" s="27" t="s">
        <v>65</v>
      </c>
      <c r="G293" s="28">
        <f>1499.4+80</f>
        <v>1579.4</v>
      </c>
      <c r="H293" s="28">
        <f>1499.4+80</f>
        <v>1579.4</v>
      </c>
      <c r="I293" s="28">
        <f>1499.4+80</f>
        <v>1579.4</v>
      </c>
      <c r="J293" s="21"/>
      <c r="K293" s="21"/>
      <c r="L293" s="21"/>
      <c r="M293" s="21"/>
    </row>
    <row r="294" spans="1:15" ht="51" x14ac:dyDescent="0.2">
      <c r="A294" s="18" t="s">
        <v>255</v>
      </c>
      <c r="B294" s="22">
        <v>911</v>
      </c>
      <c r="C294" s="19" t="s">
        <v>51</v>
      </c>
      <c r="D294" s="19" t="s">
        <v>16</v>
      </c>
      <c r="E294" s="19" t="s">
        <v>127</v>
      </c>
      <c r="F294" s="19"/>
      <c r="G294" s="20">
        <f>G295</f>
        <v>207</v>
      </c>
      <c r="H294" s="20">
        <f>H295</f>
        <v>207</v>
      </c>
      <c r="I294" s="20">
        <f>I295</f>
        <v>207</v>
      </c>
    </row>
    <row r="295" spans="1:15" s="29" customFormat="1" x14ac:dyDescent="0.2">
      <c r="A295" s="87" t="s">
        <v>69</v>
      </c>
      <c r="B295" s="35">
        <v>911</v>
      </c>
      <c r="C295" s="27" t="s">
        <v>51</v>
      </c>
      <c r="D295" s="27" t="s">
        <v>16</v>
      </c>
      <c r="E295" s="27" t="s">
        <v>127</v>
      </c>
      <c r="F295" s="33">
        <v>300</v>
      </c>
      <c r="G295" s="28">
        <v>207</v>
      </c>
      <c r="H295" s="28">
        <v>207</v>
      </c>
      <c r="I295" s="28">
        <v>207</v>
      </c>
      <c r="J295" s="21"/>
      <c r="K295" s="21"/>
      <c r="L295" s="21"/>
      <c r="M295" s="21"/>
    </row>
    <row r="296" spans="1:15" ht="63.75" x14ac:dyDescent="0.2">
      <c r="A296" s="18" t="s">
        <v>256</v>
      </c>
      <c r="B296" s="22">
        <v>911</v>
      </c>
      <c r="C296" s="19" t="s">
        <v>51</v>
      </c>
      <c r="D296" s="19" t="s">
        <v>16</v>
      </c>
      <c r="E296" s="27" t="s">
        <v>126</v>
      </c>
      <c r="F296" s="19"/>
      <c r="G296" s="20">
        <f>G297</f>
        <v>387</v>
      </c>
      <c r="H296" s="20">
        <f>H297</f>
        <v>387</v>
      </c>
      <c r="I296" s="20">
        <f>I297</f>
        <v>387</v>
      </c>
    </row>
    <row r="297" spans="1:15" s="29" customFormat="1" x14ac:dyDescent="0.2">
      <c r="A297" s="87" t="s">
        <v>69</v>
      </c>
      <c r="B297" s="35">
        <v>911</v>
      </c>
      <c r="C297" s="27" t="s">
        <v>51</v>
      </c>
      <c r="D297" s="27" t="s">
        <v>16</v>
      </c>
      <c r="E297" s="27" t="s">
        <v>126</v>
      </c>
      <c r="F297" s="33">
        <v>300</v>
      </c>
      <c r="G297" s="28">
        <v>387</v>
      </c>
      <c r="H297" s="28">
        <v>387</v>
      </c>
      <c r="I297" s="28">
        <v>387</v>
      </c>
      <c r="J297" s="21"/>
      <c r="K297" s="21"/>
      <c r="L297" s="21"/>
      <c r="M297" s="21"/>
    </row>
    <row r="298" spans="1:15" ht="38.25" x14ac:dyDescent="0.2">
      <c r="A298" s="54" t="s">
        <v>257</v>
      </c>
      <c r="B298" s="22">
        <v>911</v>
      </c>
      <c r="C298" s="19" t="s">
        <v>51</v>
      </c>
      <c r="D298" s="19" t="s">
        <v>16</v>
      </c>
      <c r="E298" s="19" t="s">
        <v>125</v>
      </c>
      <c r="F298" s="19"/>
      <c r="G298" s="20">
        <f>G299</f>
        <v>570</v>
      </c>
      <c r="H298" s="20">
        <f>H299</f>
        <v>570</v>
      </c>
      <c r="I298" s="20">
        <f>I299</f>
        <v>570</v>
      </c>
      <c r="N298" s="29"/>
      <c r="O298" s="29"/>
    </row>
    <row r="299" spans="1:15" s="29" customFormat="1" x14ac:dyDescent="0.2">
      <c r="A299" s="87" t="s">
        <v>69</v>
      </c>
      <c r="B299" s="35">
        <v>911</v>
      </c>
      <c r="C299" s="27" t="s">
        <v>51</v>
      </c>
      <c r="D299" s="27" t="s">
        <v>16</v>
      </c>
      <c r="E299" s="27" t="s">
        <v>125</v>
      </c>
      <c r="F299" s="27" t="s">
        <v>70</v>
      </c>
      <c r="G299" s="28">
        <v>570</v>
      </c>
      <c r="H299" s="28">
        <v>570</v>
      </c>
      <c r="I299" s="28">
        <v>570</v>
      </c>
      <c r="J299" s="21"/>
      <c r="K299" s="21"/>
      <c r="L299" s="21"/>
      <c r="M299" s="21"/>
      <c r="N299" s="21"/>
      <c r="O299" s="21"/>
    </row>
    <row r="300" spans="1:15" ht="25.5" x14ac:dyDescent="0.2">
      <c r="A300" s="54" t="s">
        <v>258</v>
      </c>
      <c r="B300" s="68" t="s">
        <v>132</v>
      </c>
      <c r="C300" s="19" t="s">
        <v>51</v>
      </c>
      <c r="D300" s="19" t="s">
        <v>16</v>
      </c>
      <c r="E300" s="19" t="s">
        <v>133</v>
      </c>
      <c r="F300" s="19"/>
      <c r="G300" s="20">
        <f>G302+G301</f>
        <v>550.9</v>
      </c>
      <c r="H300" s="20">
        <f>H302+H301</f>
        <v>550.9</v>
      </c>
      <c r="I300" s="20">
        <f>I302+I301</f>
        <v>550.9</v>
      </c>
      <c r="N300" s="29"/>
      <c r="O300" s="29"/>
    </row>
    <row r="301" spans="1:15" ht="25.5" x14ac:dyDescent="0.2">
      <c r="A301" s="31" t="s">
        <v>76</v>
      </c>
      <c r="B301" s="26">
        <v>911</v>
      </c>
      <c r="C301" s="27" t="s">
        <v>51</v>
      </c>
      <c r="D301" s="27" t="s">
        <v>16</v>
      </c>
      <c r="E301" s="27" t="s">
        <v>133</v>
      </c>
      <c r="F301" s="30" t="s">
        <v>68</v>
      </c>
      <c r="G301" s="28">
        <v>89.4</v>
      </c>
      <c r="H301" s="28">
        <v>89.4</v>
      </c>
      <c r="I301" s="28">
        <v>89.4</v>
      </c>
    </row>
    <row r="302" spans="1:15" ht="25.5" x14ac:dyDescent="0.2">
      <c r="A302" s="31" t="s">
        <v>144</v>
      </c>
      <c r="B302" s="31">
        <v>911</v>
      </c>
      <c r="C302" s="27" t="s">
        <v>51</v>
      </c>
      <c r="D302" s="27" t="s">
        <v>16</v>
      </c>
      <c r="E302" s="27" t="s">
        <v>133</v>
      </c>
      <c r="F302" s="27" t="s">
        <v>65</v>
      </c>
      <c r="G302" s="28">
        <f>432+29.5</f>
        <v>461.5</v>
      </c>
      <c r="H302" s="28">
        <f>432+29.5</f>
        <v>461.5</v>
      </c>
      <c r="I302" s="28">
        <f>432+29.5</f>
        <v>461.5</v>
      </c>
      <c r="J302" s="9"/>
      <c r="K302" s="9"/>
      <c r="L302" s="9"/>
      <c r="M302" s="9"/>
      <c r="N302" s="9"/>
      <c r="O302" s="9"/>
    </row>
    <row r="303" spans="1:15" ht="76.5" x14ac:dyDescent="0.2">
      <c r="A303" s="18" t="s">
        <v>259</v>
      </c>
      <c r="B303" s="22">
        <v>911</v>
      </c>
      <c r="C303" s="19" t="s">
        <v>51</v>
      </c>
      <c r="D303" s="19" t="s">
        <v>16</v>
      </c>
      <c r="E303" s="19" t="s">
        <v>128</v>
      </c>
      <c r="F303" s="19"/>
      <c r="G303" s="20">
        <f>G304</f>
        <v>1000</v>
      </c>
      <c r="H303" s="20">
        <f>H304</f>
        <v>1000</v>
      </c>
      <c r="I303" s="20">
        <f>I304</f>
        <v>1000</v>
      </c>
    </row>
    <row r="304" spans="1:15" s="29" customFormat="1" x14ac:dyDescent="0.2">
      <c r="A304" s="31" t="s">
        <v>69</v>
      </c>
      <c r="B304" s="35">
        <v>911</v>
      </c>
      <c r="C304" s="27" t="s">
        <v>51</v>
      </c>
      <c r="D304" s="27" t="s">
        <v>16</v>
      </c>
      <c r="E304" s="27" t="s">
        <v>128</v>
      </c>
      <c r="F304" s="27" t="s">
        <v>70</v>
      </c>
      <c r="G304" s="28">
        <v>1000</v>
      </c>
      <c r="H304" s="28">
        <v>1000</v>
      </c>
      <c r="I304" s="28">
        <v>1000</v>
      </c>
      <c r="J304" s="21"/>
      <c r="K304" s="21"/>
      <c r="L304" s="21"/>
      <c r="M304" s="21"/>
      <c r="N304" s="21"/>
      <c r="O304" s="21"/>
    </row>
    <row r="305" spans="1:15" ht="51" x14ac:dyDescent="0.2">
      <c r="A305" s="18" t="s">
        <v>260</v>
      </c>
      <c r="B305" s="22">
        <v>911</v>
      </c>
      <c r="C305" s="19" t="s">
        <v>51</v>
      </c>
      <c r="D305" s="19" t="s">
        <v>16</v>
      </c>
      <c r="E305" s="19" t="s">
        <v>109</v>
      </c>
      <c r="F305" s="19"/>
      <c r="G305" s="20">
        <f>G306</f>
        <v>7586.5</v>
      </c>
      <c r="H305" s="20">
        <f>H306</f>
        <v>7586.5</v>
      </c>
      <c r="I305" s="20">
        <f>I306</f>
        <v>7586.5</v>
      </c>
      <c r="N305" s="29"/>
      <c r="O305" s="29"/>
    </row>
    <row r="306" spans="1:15" s="29" customFormat="1" ht="25.5" x14ac:dyDescent="0.2">
      <c r="A306" s="31" t="s">
        <v>144</v>
      </c>
      <c r="B306" s="35">
        <v>911</v>
      </c>
      <c r="C306" s="27" t="s">
        <v>51</v>
      </c>
      <c r="D306" s="27" t="s">
        <v>16</v>
      </c>
      <c r="E306" s="27" t="s">
        <v>109</v>
      </c>
      <c r="F306" s="27" t="s">
        <v>65</v>
      </c>
      <c r="G306" s="28">
        <v>7586.5</v>
      </c>
      <c r="H306" s="28">
        <v>7586.5</v>
      </c>
      <c r="I306" s="28">
        <v>7586.5</v>
      </c>
      <c r="J306" s="21"/>
      <c r="K306" s="21"/>
      <c r="L306" s="21"/>
      <c r="M306" s="21"/>
      <c r="N306" s="21"/>
      <c r="O306" s="21"/>
    </row>
    <row r="307" spans="1:15" s="9" customFormat="1" x14ac:dyDescent="0.2">
      <c r="A307" s="11" t="s">
        <v>56</v>
      </c>
      <c r="B307" s="14">
        <v>911</v>
      </c>
      <c r="C307" s="8" t="s">
        <v>51</v>
      </c>
      <c r="D307" s="8" t="s">
        <v>18</v>
      </c>
      <c r="E307" s="8"/>
      <c r="F307" s="8"/>
      <c r="G307" s="4">
        <f>G308+G310+G314</f>
        <v>40796</v>
      </c>
      <c r="H307" s="4">
        <f t="shared" ref="H307:I307" si="41">H308+H310+H314</f>
        <v>40884</v>
      </c>
      <c r="I307" s="4">
        <f t="shared" si="41"/>
        <v>40596</v>
      </c>
      <c r="J307" s="29"/>
      <c r="K307" s="29"/>
      <c r="L307" s="29"/>
      <c r="M307" s="29"/>
      <c r="N307" s="29"/>
      <c r="O307" s="29"/>
    </row>
    <row r="308" spans="1:15" ht="38.25" x14ac:dyDescent="0.2">
      <c r="A308" s="18" t="s">
        <v>261</v>
      </c>
      <c r="B308" s="22">
        <v>911</v>
      </c>
      <c r="C308" s="19" t="s">
        <v>51</v>
      </c>
      <c r="D308" s="19" t="s">
        <v>18</v>
      </c>
      <c r="E308" s="19" t="s">
        <v>131</v>
      </c>
      <c r="F308" s="19"/>
      <c r="G308" s="20">
        <f>G309</f>
        <v>1200</v>
      </c>
      <c r="H308" s="20">
        <f>H309</f>
        <v>1288</v>
      </c>
      <c r="I308" s="20">
        <f>I309</f>
        <v>1000</v>
      </c>
      <c r="N308" s="29"/>
      <c r="O308" s="29"/>
    </row>
    <row r="309" spans="1:15" s="29" customFormat="1" x14ac:dyDescent="0.2">
      <c r="A309" s="31" t="s">
        <v>69</v>
      </c>
      <c r="B309" s="35">
        <v>911</v>
      </c>
      <c r="C309" s="27" t="s">
        <v>51</v>
      </c>
      <c r="D309" s="27" t="s">
        <v>18</v>
      </c>
      <c r="E309" s="27" t="s">
        <v>131</v>
      </c>
      <c r="F309" s="27" t="s">
        <v>70</v>
      </c>
      <c r="G309" s="28">
        <v>1200</v>
      </c>
      <c r="H309" s="28">
        <v>1288</v>
      </c>
      <c r="I309" s="28">
        <v>1000</v>
      </c>
      <c r="J309" s="21"/>
      <c r="K309" s="21"/>
      <c r="L309" s="21"/>
      <c r="M309" s="21"/>
      <c r="N309" s="21"/>
      <c r="O309" s="21"/>
    </row>
    <row r="310" spans="1:15" ht="38.25" customHeight="1" x14ac:dyDescent="0.2">
      <c r="A310" s="18" t="s">
        <v>262</v>
      </c>
      <c r="B310" s="22">
        <v>911</v>
      </c>
      <c r="C310" s="19" t="s">
        <v>51</v>
      </c>
      <c r="D310" s="19" t="s">
        <v>18</v>
      </c>
      <c r="E310" s="19" t="s">
        <v>129</v>
      </c>
      <c r="F310" s="19"/>
      <c r="G310" s="20">
        <f>G312+G313+G311</f>
        <v>3754</v>
      </c>
      <c r="H310" s="20">
        <f>H312+H313+H311</f>
        <v>3754</v>
      </c>
      <c r="I310" s="20">
        <f>I312+I313+I311</f>
        <v>3754</v>
      </c>
      <c r="J310" s="29"/>
      <c r="K310" s="29"/>
      <c r="L310" s="29"/>
      <c r="M310" s="29"/>
      <c r="N310" s="29"/>
      <c r="O310" s="29"/>
    </row>
    <row r="311" spans="1:15" s="29" customFormat="1" ht="25.5" x14ac:dyDescent="0.2">
      <c r="A311" s="31" t="s">
        <v>76</v>
      </c>
      <c r="B311" s="36">
        <v>911</v>
      </c>
      <c r="C311" s="27" t="s">
        <v>51</v>
      </c>
      <c r="D311" s="27" t="s">
        <v>18</v>
      </c>
      <c r="E311" s="27" t="s">
        <v>129</v>
      </c>
      <c r="F311" s="30" t="s">
        <v>68</v>
      </c>
      <c r="G311" s="28">
        <v>3.2</v>
      </c>
      <c r="H311" s="28">
        <v>3.2</v>
      </c>
      <c r="I311" s="28">
        <v>3.2</v>
      </c>
      <c r="J311" s="21"/>
      <c r="K311" s="21"/>
      <c r="L311" s="21"/>
      <c r="M311" s="21"/>
    </row>
    <row r="312" spans="1:15" s="29" customFormat="1" x14ac:dyDescent="0.2">
      <c r="A312" s="87" t="s">
        <v>69</v>
      </c>
      <c r="B312" s="35">
        <v>911</v>
      </c>
      <c r="C312" s="27" t="s">
        <v>51</v>
      </c>
      <c r="D312" s="27" t="s">
        <v>18</v>
      </c>
      <c r="E312" s="27" t="s">
        <v>129</v>
      </c>
      <c r="F312" s="33">
        <v>300</v>
      </c>
      <c r="G312" s="28">
        <v>320</v>
      </c>
      <c r="H312" s="28">
        <v>320</v>
      </c>
      <c r="I312" s="28">
        <v>320</v>
      </c>
      <c r="J312" s="9"/>
      <c r="K312" s="9"/>
      <c r="L312" s="9"/>
      <c r="M312" s="9"/>
      <c r="N312" s="9"/>
      <c r="O312" s="9"/>
    </row>
    <row r="313" spans="1:15" s="29" customFormat="1" ht="25.5" x14ac:dyDescent="0.2">
      <c r="A313" s="31" t="s">
        <v>144</v>
      </c>
      <c r="B313" s="35">
        <v>911</v>
      </c>
      <c r="C313" s="27" t="s">
        <v>51</v>
      </c>
      <c r="D313" s="27" t="s">
        <v>18</v>
      </c>
      <c r="E313" s="27" t="s">
        <v>129</v>
      </c>
      <c r="F313" s="27" t="s">
        <v>65</v>
      </c>
      <c r="G313" s="28">
        <f>31+3066.5+3.3+330</f>
        <v>3430.8</v>
      </c>
      <c r="H313" s="28">
        <f>31+3066.5+3.3+330</f>
        <v>3430.8</v>
      </c>
      <c r="I313" s="28">
        <f>31+3066.5+3.3+330</f>
        <v>3430.8</v>
      </c>
      <c r="J313" s="3"/>
      <c r="K313" s="3"/>
      <c r="L313" s="3"/>
      <c r="M313" s="3"/>
      <c r="N313" s="3"/>
      <c r="O313" s="3"/>
    </row>
    <row r="314" spans="1:15" ht="112.5" customHeight="1" x14ac:dyDescent="0.2">
      <c r="A314" s="88" t="s">
        <v>375</v>
      </c>
      <c r="B314" s="22">
        <v>911</v>
      </c>
      <c r="C314" s="19" t="s">
        <v>51</v>
      </c>
      <c r="D314" s="19" t="s">
        <v>18</v>
      </c>
      <c r="E314" s="19" t="s">
        <v>130</v>
      </c>
      <c r="F314" s="19"/>
      <c r="G314" s="20">
        <f>G315</f>
        <v>35842</v>
      </c>
      <c r="H314" s="20">
        <f>H315</f>
        <v>35842</v>
      </c>
      <c r="I314" s="20">
        <f>I315</f>
        <v>35842</v>
      </c>
      <c r="K314" s="9"/>
      <c r="L314" s="9"/>
      <c r="M314" s="9"/>
      <c r="N314" s="9"/>
      <c r="O314" s="9"/>
    </row>
    <row r="315" spans="1:15" s="29" customFormat="1" x14ac:dyDescent="0.2">
      <c r="A315" s="31" t="s">
        <v>69</v>
      </c>
      <c r="B315" s="35">
        <v>911</v>
      </c>
      <c r="C315" s="27" t="s">
        <v>51</v>
      </c>
      <c r="D315" s="27" t="s">
        <v>18</v>
      </c>
      <c r="E315" s="27" t="s">
        <v>130</v>
      </c>
      <c r="F315" s="27" t="s">
        <v>70</v>
      </c>
      <c r="G315" s="28">
        <v>35842</v>
      </c>
      <c r="H315" s="28">
        <v>35842</v>
      </c>
      <c r="I315" s="28">
        <v>35842</v>
      </c>
      <c r="J315" s="21"/>
      <c r="K315" s="21"/>
      <c r="L315" s="21"/>
      <c r="M315" s="21"/>
    </row>
    <row r="316" spans="1:15" s="9" customFormat="1" ht="25.5" x14ac:dyDescent="0.2">
      <c r="A316" s="47" t="s">
        <v>7</v>
      </c>
      <c r="B316" s="44">
        <v>913</v>
      </c>
      <c r="C316" s="48"/>
      <c r="D316" s="48"/>
      <c r="E316" s="48"/>
      <c r="F316" s="48"/>
      <c r="G316" s="46">
        <f>G317+G326+G348</f>
        <v>117676.8</v>
      </c>
      <c r="H316" s="46">
        <f>H317+H326+H348</f>
        <v>105176.8</v>
      </c>
      <c r="I316" s="46">
        <f>I317+I326+I348</f>
        <v>105176.8</v>
      </c>
      <c r="J316" s="72"/>
      <c r="K316" s="72"/>
      <c r="L316" s="72"/>
      <c r="M316" s="29"/>
      <c r="N316" s="29"/>
      <c r="O316" s="29"/>
    </row>
    <row r="317" spans="1:15" s="3" customFormat="1" x14ac:dyDescent="0.2">
      <c r="A317" s="13" t="s">
        <v>37</v>
      </c>
      <c r="B317" s="49">
        <v>913</v>
      </c>
      <c r="C317" s="1" t="s">
        <v>19</v>
      </c>
      <c r="D317" s="1"/>
      <c r="E317" s="1"/>
      <c r="F317" s="1"/>
      <c r="G317" s="2">
        <f>G318</f>
        <v>26129.100000000002</v>
      </c>
      <c r="H317" s="2">
        <f>H318</f>
        <v>26129.100000000002</v>
      </c>
      <c r="I317" s="2">
        <f>I318</f>
        <v>26129.100000000002</v>
      </c>
      <c r="J317" s="21"/>
      <c r="K317" s="21"/>
      <c r="L317" s="21"/>
      <c r="M317" s="21"/>
      <c r="N317" s="29"/>
      <c r="O317" s="29"/>
    </row>
    <row r="318" spans="1:15" s="9" customFormat="1" x14ac:dyDescent="0.2">
      <c r="A318" s="11" t="s">
        <v>341</v>
      </c>
      <c r="B318" s="14">
        <v>913</v>
      </c>
      <c r="C318" s="8" t="s">
        <v>19</v>
      </c>
      <c r="D318" s="8" t="s">
        <v>16</v>
      </c>
      <c r="E318" s="8"/>
      <c r="F318" s="8"/>
      <c r="G318" s="4">
        <f>G321+G324+G319</f>
        <v>26129.100000000002</v>
      </c>
      <c r="H318" s="4">
        <f t="shared" ref="H318:I318" si="42">H321+H324+H319</f>
        <v>26129.100000000002</v>
      </c>
      <c r="I318" s="4">
        <f t="shared" si="42"/>
        <v>26129.100000000002</v>
      </c>
      <c r="J318" s="21"/>
      <c r="K318" s="21"/>
      <c r="L318" s="21"/>
      <c r="M318" s="21"/>
      <c r="N318" s="21"/>
      <c r="O318" s="21"/>
    </row>
    <row r="319" spans="1:15" ht="25.5" x14ac:dyDescent="0.2">
      <c r="A319" s="18" t="s">
        <v>193</v>
      </c>
      <c r="B319" s="18">
        <v>913</v>
      </c>
      <c r="C319" s="19" t="s">
        <v>19</v>
      </c>
      <c r="D319" s="19" t="s">
        <v>16</v>
      </c>
      <c r="E319" s="19" t="s">
        <v>138</v>
      </c>
      <c r="F319" s="19"/>
      <c r="G319" s="20">
        <f>G320</f>
        <v>58.4</v>
      </c>
      <c r="H319" s="20">
        <f>H320</f>
        <v>58.4</v>
      </c>
      <c r="I319" s="20">
        <f>I320</f>
        <v>58.4</v>
      </c>
    </row>
    <row r="320" spans="1:15" ht="25.5" x14ac:dyDescent="0.2">
      <c r="A320" s="31" t="s">
        <v>144</v>
      </c>
      <c r="B320" s="31">
        <v>913</v>
      </c>
      <c r="C320" s="27" t="s">
        <v>19</v>
      </c>
      <c r="D320" s="27" t="s">
        <v>16</v>
      </c>
      <c r="E320" s="27" t="s">
        <v>138</v>
      </c>
      <c r="F320" s="27" t="s">
        <v>65</v>
      </c>
      <c r="G320" s="28">
        <f>58.4</f>
        <v>58.4</v>
      </c>
      <c r="H320" s="28">
        <v>58.4</v>
      </c>
      <c r="I320" s="28">
        <v>58.4</v>
      </c>
    </row>
    <row r="321" spans="1:15" ht="63.75" x14ac:dyDescent="0.2">
      <c r="A321" s="18" t="s">
        <v>355</v>
      </c>
      <c r="B321" s="22">
        <v>913</v>
      </c>
      <c r="C321" s="19" t="s">
        <v>19</v>
      </c>
      <c r="D321" s="19" t="s">
        <v>16</v>
      </c>
      <c r="E321" s="19" t="s">
        <v>240</v>
      </c>
      <c r="F321" s="19"/>
      <c r="G321" s="20">
        <f>G323+G322</f>
        <v>26003.7</v>
      </c>
      <c r="H321" s="20">
        <f>H323+H322</f>
        <v>26003.7</v>
      </c>
      <c r="I321" s="20">
        <f>I323+I322</f>
        <v>26003.7</v>
      </c>
    </row>
    <row r="322" spans="1:15" s="29" customFormat="1" x14ac:dyDescent="0.2">
      <c r="A322" s="31" t="s">
        <v>69</v>
      </c>
      <c r="B322" s="35">
        <v>913</v>
      </c>
      <c r="C322" s="27" t="s">
        <v>19</v>
      </c>
      <c r="D322" s="27" t="s">
        <v>16</v>
      </c>
      <c r="E322" s="27" t="s">
        <v>240</v>
      </c>
      <c r="F322" s="30" t="s">
        <v>70</v>
      </c>
      <c r="G322" s="28">
        <v>30</v>
      </c>
      <c r="H322" s="28">
        <v>30</v>
      </c>
      <c r="I322" s="28">
        <v>30</v>
      </c>
      <c r="J322" s="12"/>
      <c r="K322" s="12"/>
      <c r="L322" s="12"/>
      <c r="M322" s="12"/>
      <c r="N322" s="12"/>
      <c r="O322" s="12"/>
    </row>
    <row r="323" spans="1:15" s="29" customFormat="1" ht="25.5" x14ac:dyDescent="0.2">
      <c r="A323" s="31" t="s">
        <v>144</v>
      </c>
      <c r="B323" s="31">
        <v>913</v>
      </c>
      <c r="C323" s="27" t="s">
        <v>19</v>
      </c>
      <c r="D323" s="27" t="s">
        <v>16</v>
      </c>
      <c r="E323" s="27" t="s">
        <v>240</v>
      </c>
      <c r="F323" s="27" t="s">
        <v>65</v>
      </c>
      <c r="G323" s="28">
        <f>24006+1967.7</f>
        <v>25973.7</v>
      </c>
      <c r="H323" s="28">
        <f>24006+1967.7</f>
        <v>25973.7</v>
      </c>
      <c r="I323" s="28">
        <f>24006+1967.7</f>
        <v>25973.7</v>
      </c>
    </row>
    <row r="324" spans="1:15" ht="25.5" x14ac:dyDescent="0.2">
      <c r="A324" s="18" t="s">
        <v>356</v>
      </c>
      <c r="B324" s="22">
        <v>913</v>
      </c>
      <c r="C324" s="19" t="s">
        <v>19</v>
      </c>
      <c r="D324" s="19" t="s">
        <v>16</v>
      </c>
      <c r="E324" s="19" t="s">
        <v>195</v>
      </c>
      <c r="F324" s="19"/>
      <c r="G324" s="20">
        <f>G325</f>
        <v>67</v>
      </c>
      <c r="H324" s="20">
        <f>H325</f>
        <v>67</v>
      </c>
      <c r="I324" s="20">
        <f>I325</f>
        <v>67</v>
      </c>
      <c r="J324" s="29"/>
      <c r="K324" s="29"/>
      <c r="L324" s="29"/>
      <c r="M324" s="29"/>
      <c r="N324" s="29"/>
      <c r="O324" s="29"/>
    </row>
    <row r="325" spans="1:15" s="29" customFormat="1" ht="25.5" x14ac:dyDescent="0.2">
      <c r="A325" s="31" t="s">
        <v>144</v>
      </c>
      <c r="B325" s="35">
        <v>913</v>
      </c>
      <c r="C325" s="27" t="s">
        <v>19</v>
      </c>
      <c r="D325" s="27" t="s">
        <v>16</v>
      </c>
      <c r="E325" s="27" t="s">
        <v>195</v>
      </c>
      <c r="F325" s="27" t="s">
        <v>65</v>
      </c>
      <c r="G325" s="28">
        <v>67</v>
      </c>
      <c r="H325" s="28">
        <v>67</v>
      </c>
      <c r="I325" s="28">
        <v>67</v>
      </c>
      <c r="J325" s="21"/>
      <c r="K325" s="21"/>
      <c r="L325" s="21"/>
      <c r="M325" s="21"/>
      <c r="N325" s="21"/>
      <c r="O325" s="21"/>
    </row>
    <row r="326" spans="1:15" s="3" customFormat="1" ht="25.5" x14ac:dyDescent="0.2">
      <c r="A326" s="13" t="s">
        <v>42</v>
      </c>
      <c r="B326" s="49">
        <v>913</v>
      </c>
      <c r="C326" s="1" t="s">
        <v>43</v>
      </c>
      <c r="D326" s="1"/>
      <c r="E326" s="1"/>
      <c r="F326" s="1"/>
      <c r="G326" s="2">
        <f>G327+G340</f>
        <v>91362.7</v>
      </c>
      <c r="H326" s="2">
        <f>H327+H340</f>
        <v>78862.7</v>
      </c>
      <c r="I326" s="2">
        <f>I327+I340</f>
        <v>78862.7</v>
      </c>
      <c r="J326" s="21"/>
      <c r="K326" s="21"/>
      <c r="L326" s="21"/>
      <c r="M326" s="21"/>
      <c r="N326" s="21"/>
      <c r="O326" s="21"/>
    </row>
    <row r="327" spans="1:15" s="9" customFormat="1" x14ac:dyDescent="0.2">
      <c r="A327" s="11" t="s">
        <v>44</v>
      </c>
      <c r="B327" s="14">
        <v>913</v>
      </c>
      <c r="C327" s="8" t="s">
        <v>43</v>
      </c>
      <c r="D327" s="8" t="s">
        <v>12</v>
      </c>
      <c r="E327" s="8"/>
      <c r="F327" s="8"/>
      <c r="G327" s="4">
        <f>G332+G335+G337+G328+G330</f>
        <v>87408.5</v>
      </c>
      <c r="H327" s="4">
        <f t="shared" ref="H327:I327" si="43">H332+H335+H337+H328+H330</f>
        <v>74908.5</v>
      </c>
      <c r="I327" s="4">
        <f t="shared" si="43"/>
        <v>74908.5</v>
      </c>
      <c r="J327" s="21"/>
      <c r="K327" s="21"/>
      <c r="L327" s="21"/>
      <c r="M327" s="21"/>
      <c r="N327" s="21"/>
      <c r="O327" s="21"/>
    </row>
    <row r="328" spans="1:15" x14ac:dyDescent="0.2">
      <c r="A328" s="18" t="s">
        <v>179</v>
      </c>
      <c r="B328" s="22">
        <v>913</v>
      </c>
      <c r="C328" s="19" t="s">
        <v>43</v>
      </c>
      <c r="D328" s="19" t="s">
        <v>12</v>
      </c>
      <c r="E328" s="27" t="s">
        <v>178</v>
      </c>
      <c r="F328" s="19"/>
      <c r="G328" s="20">
        <f>G329</f>
        <v>12500</v>
      </c>
      <c r="H328" s="20">
        <f>H329</f>
        <v>0</v>
      </c>
      <c r="I328" s="20">
        <f>I329</f>
        <v>0</v>
      </c>
    </row>
    <row r="329" spans="1:15" s="29" customFormat="1" ht="25.5" x14ac:dyDescent="0.2">
      <c r="A329" s="31" t="s">
        <v>83</v>
      </c>
      <c r="B329" s="22">
        <v>913</v>
      </c>
      <c r="C329" s="27" t="s">
        <v>43</v>
      </c>
      <c r="D329" s="27" t="s">
        <v>12</v>
      </c>
      <c r="E329" s="27" t="s">
        <v>178</v>
      </c>
      <c r="F329" s="27" t="s">
        <v>71</v>
      </c>
      <c r="G329" s="28">
        <v>12500</v>
      </c>
      <c r="H329" s="28">
        <v>0</v>
      </c>
      <c r="I329" s="28">
        <v>0</v>
      </c>
    </row>
    <row r="330" spans="1:15" ht="38.25" x14ac:dyDescent="0.2">
      <c r="A330" s="18" t="s">
        <v>390</v>
      </c>
      <c r="B330" s="18">
        <v>913</v>
      </c>
      <c r="C330" s="19" t="s">
        <v>43</v>
      </c>
      <c r="D330" s="19" t="s">
        <v>12</v>
      </c>
      <c r="E330" s="19" t="s">
        <v>391</v>
      </c>
      <c r="F330" s="19"/>
      <c r="G330" s="20">
        <f>G331</f>
        <v>4564</v>
      </c>
      <c r="H330" s="20">
        <f>H331</f>
        <v>4564</v>
      </c>
      <c r="I330" s="20">
        <f>I331</f>
        <v>4564</v>
      </c>
    </row>
    <row r="331" spans="1:15" ht="25.5" x14ac:dyDescent="0.2">
      <c r="A331" s="31" t="s">
        <v>144</v>
      </c>
      <c r="B331" s="31">
        <v>913</v>
      </c>
      <c r="C331" s="27" t="s">
        <v>43</v>
      </c>
      <c r="D331" s="27" t="s">
        <v>12</v>
      </c>
      <c r="E331" s="27" t="s">
        <v>391</v>
      </c>
      <c r="F331" s="27" t="s">
        <v>65</v>
      </c>
      <c r="G331" s="28">
        <v>4564</v>
      </c>
      <c r="H331" s="28">
        <v>4564</v>
      </c>
      <c r="I331" s="28">
        <v>4564</v>
      </c>
    </row>
    <row r="332" spans="1:15" x14ac:dyDescent="0.2">
      <c r="A332" s="18" t="s">
        <v>264</v>
      </c>
      <c r="B332" s="22">
        <v>913</v>
      </c>
      <c r="C332" s="19" t="s">
        <v>43</v>
      </c>
      <c r="D332" s="19" t="s">
        <v>12</v>
      </c>
      <c r="E332" s="19" t="s">
        <v>263</v>
      </c>
      <c r="F332" s="19"/>
      <c r="G332" s="20">
        <f>G334+G333</f>
        <v>50430</v>
      </c>
      <c r="H332" s="20">
        <f>H334+H333</f>
        <v>50430</v>
      </c>
      <c r="I332" s="20">
        <f>I334+I333</f>
        <v>50430</v>
      </c>
    </row>
    <row r="333" spans="1:15" s="29" customFormat="1" x14ac:dyDescent="0.2">
      <c r="A333" s="31" t="s">
        <v>69</v>
      </c>
      <c r="B333" s="31">
        <v>913</v>
      </c>
      <c r="C333" s="27" t="s">
        <v>43</v>
      </c>
      <c r="D333" s="27" t="s">
        <v>12</v>
      </c>
      <c r="E333" s="27" t="s">
        <v>263</v>
      </c>
      <c r="F333" s="30" t="s">
        <v>70</v>
      </c>
      <c r="G333" s="28">
        <v>15</v>
      </c>
      <c r="H333" s="28">
        <v>15</v>
      </c>
      <c r="I333" s="28">
        <v>15</v>
      </c>
    </row>
    <row r="334" spans="1:15" s="29" customFormat="1" ht="25.5" x14ac:dyDescent="0.2">
      <c r="A334" s="31" t="s">
        <v>144</v>
      </c>
      <c r="B334" s="35">
        <v>913</v>
      </c>
      <c r="C334" s="27" t="s">
        <v>43</v>
      </c>
      <c r="D334" s="27" t="s">
        <v>12</v>
      </c>
      <c r="E334" s="27" t="s">
        <v>263</v>
      </c>
      <c r="F334" s="27" t="s">
        <v>65</v>
      </c>
      <c r="G334" s="28">
        <v>50415</v>
      </c>
      <c r="H334" s="28">
        <v>50415</v>
      </c>
      <c r="I334" s="28">
        <v>50415</v>
      </c>
      <c r="J334" s="21"/>
      <c r="K334" s="21"/>
      <c r="L334" s="21"/>
      <c r="M334" s="21"/>
    </row>
    <row r="335" spans="1:15" x14ac:dyDescent="0.2">
      <c r="A335" s="18" t="s">
        <v>266</v>
      </c>
      <c r="B335" s="22">
        <v>913</v>
      </c>
      <c r="C335" s="19" t="s">
        <v>43</v>
      </c>
      <c r="D335" s="19" t="s">
        <v>12</v>
      </c>
      <c r="E335" s="19" t="s">
        <v>265</v>
      </c>
      <c r="F335" s="19"/>
      <c r="G335" s="20">
        <f>G336</f>
        <v>3103.8</v>
      </c>
      <c r="H335" s="20">
        <f>H336</f>
        <v>3103.8</v>
      </c>
      <c r="I335" s="20">
        <f>I336</f>
        <v>3103.8</v>
      </c>
      <c r="J335" s="9"/>
      <c r="K335" s="9"/>
      <c r="L335" s="9"/>
      <c r="M335" s="9"/>
      <c r="N335" s="9"/>
      <c r="O335" s="9"/>
    </row>
    <row r="336" spans="1:15" s="29" customFormat="1" ht="25.5" x14ac:dyDescent="0.2">
      <c r="A336" s="31" t="s">
        <v>144</v>
      </c>
      <c r="B336" s="35">
        <v>913</v>
      </c>
      <c r="C336" s="27" t="s">
        <v>43</v>
      </c>
      <c r="D336" s="27" t="s">
        <v>12</v>
      </c>
      <c r="E336" s="27" t="s">
        <v>265</v>
      </c>
      <c r="F336" s="27" t="s">
        <v>65</v>
      </c>
      <c r="G336" s="28">
        <v>3103.8</v>
      </c>
      <c r="H336" s="28">
        <v>3103.8</v>
      </c>
      <c r="I336" s="28">
        <v>3103.8</v>
      </c>
      <c r="J336" s="21"/>
      <c r="K336" s="21"/>
      <c r="L336" s="21"/>
      <c r="M336" s="21"/>
      <c r="N336" s="21"/>
      <c r="O336" s="21"/>
    </row>
    <row r="337" spans="1:15" x14ac:dyDescent="0.2">
      <c r="A337" s="18" t="s">
        <v>268</v>
      </c>
      <c r="B337" s="22">
        <v>913</v>
      </c>
      <c r="C337" s="19" t="s">
        <v>43</v>
      </c>
      <c r="D337" s="19" t="s">
        <v>12</v>
      </c>
      <c r="E337" s="19" t="s">
        <v>267</v>
      </c>
      <c r="F337" s="19"/>
      <c r="G337" s="20">
        <f>G339+G338</f>
        <v>16810.7</v>
      </c>
      <c r="H337" s="20">
        <f>H339+H338</f>
        <v>16810.7</v>
      </c>
      <c r="I337" s="20">
        <f>I339+I338</f>
        <v>16810.7</v>
      </c>
      <c r="N337" s="29"/>
      <c r="O337" s="29"/>
    </row>
    <row r="338" spans="1:15" s="29" customFormat="1" x14ac:dyDescent="0.2">
      <c r="A338" s="31" t="s">
        <v>69</v>
      </c>
      <c r="B338" s="31">
        <v>913</v>
      </c>
      <c r="C338" s="27" t="s">
        <v>43</v>
      </c>
      <c r="D338" s="27" t="s">
        <v>12</v>
      </c>
      <c r="E338" s="27" t="s">
        <v>267</v>
      </c>
      <c r="F338" s="30" t="s">
        <v>70</v>
      </c>
      <c r="G338" s="28">
        <v>15</v>
      </c>
      <c r="H338" s="28">
        <v>15</v>
      </c>
      <c r="I338" s="28">
        <v>15</v>
      </c>
      <c r="J338" s="21"/>
      <c r="K338" s="21"/>
      <c r="L338" s="21"/>
      <c r="M338" s="21"/>
    </row>
    <row r="339" spans="1:15" s="29" customFormat="1" ht="25.5" x14ac:dyDescent="0.2">
      <c r="A339" s="31" t="s">
        <v>144</v>
      </c>
      <c r="B339" s="35">
        <v>913</v>
      </c>
      <c r="C339" s="27" t="s">
        <v>43</v>
      </c>
      <c r="D339" s="27" t="s">
        <v>12</v>
      </c>
      <c r="E339" s="27" t="s">
        <v>267</v>
      </c>
      <c r="F339" s="27" t="s">
        <v>65</v>
      </c>
      <c r="G339" s="28">
        <v>16795.7</v>
      </c>
      <c r="H339" s="28">
        <v>16795.7</v>
      </c>
      <c r="I339" s="28">
        <v>16795.7</v>
      </c>
      <c r="J339" s="21"/>
      <c r="K339" s="21"/>
      <c r="L339" s="21"/>
      <c r="M339" s="21"/>
    </row>
    <row r="340" spans="1:15" s="9" customFormat="1" ht="16.5" customHeight="1" x14ac:dyDescent="0.2">
      <c r="A340" s="11" t="s">
        <v>25</v>
      </c>
      <c r="B340" s="14">
        <v>913</v>
      </c>
      <c r="C340" s="8" t="s">
        <v>43</v>
      </c>
      <c r="D340" s="8" t="s">
        <v>18</v>
      </c>
      <c r="E340" s="8"/>
      <c r="F340" s="8"/>
      <c r="G340" s="4">
        <f>G341+G345</f>
        <v>3954.2</v>
      </c>
      <c r="H340" s="4">
        <f>H341+H345</f>
        <v>3954.2</v>
      </c>
      <c r="I340" s="4">
        <f>I341+I345</f>
        <v>3954.2</v>
      </c>
      <c r="J340" s="21"/>
      <c r="K340" s="21"/>
      <c r="L340" s="21"/>
      <c r="M340" s="21"/>
      <c r="N340" s="21"/>
      <c r="O340" s="21"/>
    </row>
    <row r="341" spans="1:15" x14ac:dyDescent="0.2">
      <c r="A341" s="18" t="s">
        <v>361</v>
      </c>
      <c r="B341" s="22">
        <v>913</v>
      </c>
      <c r="C341" s="19" t="s">
        <v>43</v>
      </c>
      <c r="D341" s="19" t="s">
        <v>18</v>
      </c>
      <c r="E341" s="19" t="s">
        <v>269</v>
      </c>
      <c r="F341" s="19"/>
      <c r="G341" s="20">
        <f>G342+G343+G344</f>
        <v>1018.3</v>
      </c>
      <c r="H341" s="20">
        <f>H342+H343+H344</f>
        <v>1018.3</v>
      </c>
      <c r="I341" s="20">
        <f>I342+I343+I344</f>
        <v>1018.3</v>
      </c>
      <c r="N341" s="29"/>
      <c r="O341" s="29"/>
    </row>
    <row r="342" spans="1:15" s="29" customFormat="1" ht="51.75" customHeight="1" x14ac:dyDescent="0.2">
      <c r="A342" s="26" t="s">
        <v>66</v>
      </c>
      <c r="B342" s="35">
        <v>913</v>
      </c>
      <c r="C342" s="27" t="s">
        <v>43</v>
      </c>
      <c r="D342" s="27" t="s">
        <v>18</v>
      </c>
      <c r="E342" s="27" t="s">
        <v>269</v>
      </c>
      <c r="F342" s="30" t="s">
        <v>67</v>
      </c>
      <c r="G342" s="28">
        <f>936.3+9</f>
        <v>945.3</v>
      </c>
      <c r="H342" s="28">
        <f>936.3+9</f>
        <v>945.3</v>
      </c>
      <c r="I342" s="28">
        <f>936.3+9</f>
        <v>945.3</v>
      </c>
      <c r="J342" s="21"/>
      <c r="K342" s="21"/>
      <c r="L342" s="21"/>
      <c r="M342" s="21"/>
    </row>
    <row r="343" spans="1:15" s="29" customFormat="1" ht="25.5" x14ac:dyDescent="0.2">
      <c r="A343" s="31" t="s">
        <v>76</v>
      </c>
      <c r="B343" s="35">
        <v>913</v>
      </c>
      <c r="C343" s="27" t="s">
        <v>43</v>
      </c>
      <c r="D343" s="27" t="s">
        <v>18</v>
      </c>
      <c r="E343" s="27" t="s">
        <v>269</v>
      </c>
      <c r="F343" s="30" t="s">
        <v>68</v>
      </c>
      <c r="G343" s="28">
        <v>64.5</v>
      </c>
      <c r="H343" s="28">
        <v>64.5</v>
      </c>
      <c r="I343" s="28">
        <v>64.5</v>
      </c>
      <c r="J343" s="3"/>
      <c r="K343" s="3"/>
      <c r="L343" s="3"/>
      <c r="M343" s="3"/>
      <c r="N343" s="3"/>
      <c r="O343" s="3"/>
    </row>
    <row r="344" spans="1:15" s="29" customFormat="1" x14ac:dyDescent="0.2">
      <c r="A344" s="31" t="s">
        <v>72</v>
      </c>
      <c r="B344" s="35">
        <v>913</v>
      </c>
      <c r="C344" s="27" t="s">
        <v>43</v>
      </c>
      <c r="D344" s="27" t="s">
        <v>18</v>
      </c>
      <c r="E344" s="27" t="s">
        <v>269</v>
      </c>
      <c r="F344" s="27" t="s">
        <v>73</v>
      </c>
      <c r="G344" s="28">
        <v>8.5</v>
      </c>
      <c r="H344" s="28">
        <v>8.5</v>
      </c>
      <c r="I344" s="28">
        <v>8.5</v>
      </c>
      <c r="J344" s="9"/>
      <c r="K344" s="9"/>
      <c r="L344" s="9"/>
      <c r="M344" s="9"/>
      <c r="N344" s="9"/>
      <c r="O344" s="9"/>
    </row>
    <row r="345" spans="1:15" x14ac:dyDescent="0.2">
      <c r="A345" s="18" t="s">
        <v>361</v>
      </c>
      <c r="B345" s="22">
        <v>913</v>
      </c>
      <c r="C345" s="19" t="s">
        <v>43</v>
      </c>
      <c r="D345" s="19" t="s">
        <v>18</v>
      </c>
      <c r="E345" s="19" t="s">
        <v>270</v>
      </c>
      <c r="F345" s="19"/>
      <c r="G345" s="20">
        <f>G346+G347</f>
        <v>2935.8999999999996</v>
      </c>
      <c r="H345" s="20">
        <f t="shared" ref="H345:I345" si="44">H346+H347</f>
        <v>2935.8999999999996</v>
      </c>
      <c r="I345" s="20">
        <f t="shared" si="44"/>
        <v>2935.8999999999996</v>
      </c>
    </row>
    <row r="346" spans="1:15" s="29" customFormat="1" ht="52.5" customHeight="1" x14ac:dyDescent="0.2">
      <c r="A346" s="26" t="s">
        <v>66</v>
      </c>
      <c r="B346" s="35">
        <v>913</v>
      </c>
      <c r="C346" s="27" t="s">
        <v>43</v>
      </c>
      <c r="D346" s="27" t="s">
        <v>18</v>
      </c>
      <c r="E346" s="27" t="s">
        <v>270</v>
      </c>
      <c r="F346" s="30" t="s">
        <v>67</v>
      </c>
      <c r="G346" s="28">
        <f>2671.7+25.7</f>
        <v>2697.3999999999996</v>
      </c>
      <c r="H346" s="28">
        <f>2671.7+25.7</f>
        <v>2697.3999999999996</v>
      </c>
      <c r="I346" s="28">
        <f>2671.7+25.7</f>
        <v>2697.3999999999996</v>
      </c>
      <c r="J346" s="21"/>
      <c r="K346" s="21"/>
      <c r="L346" s="21"/>
      <c r="M346" s="21"/>
    </row>
    <row r="347" spans="1:15" s="29" customFormat="1" ht="25.5" x14ac:dyDescent="0.2">
      <c r="A347" s="31" t="s">
        <v>76</v>
      </c>
      <c r="B347" s="35">
        <v>913</v>
      </c>
      <c r="C347" s="27" t="s">
        <v>43</v>
      </c>
      <c r="D347" s="27" t="s">
        <v>18</v>
      </c>
      <c r="E347" s="27" t="s">
        <v>270</v>
      </c>
      <c r="F347" s="30" t="s">
        <v>68</v>
      </c>
      <c r="G347" s="28">
        <v>238.5</v>
      </c>
      <c r="H347" s="28">
        <v>238.5</v>
      </c>
      <c r="I347" s="28">
        <v>238.5</v>
      </c>
      <c r="J347" s="9"/>
      <c r="K347" s="9"/>
      <c r="L347" s="9"/>
      <c r="M347" s="9"/>
      <c r="N347" s="9"/>
      <c r="O347" s="9"/>
    </row>
    <row r="348" spans="1:15" s="3" customFormat="1" x14ac:dyDescent="0.2">
      <c r="A348" s="13" t="s">
        <v>52</v>
      </c>
      <c r="B348" s="49">
        <v>913</v>
      </c>
      <c r="C348" s="1" t="s">
        <v>51</v>
      </c>
      <c r="D348" s="1"/>
      <c r="E348" s="1"/>
      <c r="F348" s="1"/>
      <c r="G348" s="2">
        <f>G349</f>
        <v>185</v>
      </c>
      <c r="H348" s="2">
        <f>H349</f>
        <v>185</v>
      </c>
      <c r="I348" s="2">
        <f>I349</f>
        <v>185</v>
      </c>
    </row>
    <row r="349" spans="1:15" s="9" customFormat="1" x14ac:dyDescent="0.2">
      <c r="A349" s="11" t="s">
        <v>55</v>
      </c>
      <c r="B349" s="14">
        <v>913</v>
      </c>
      <c r="C349" s="8" t="s">
        <v>51</v>
      </c>
      <c r="D349" s="8" t="s">
        <v>16</v>
      </c>
      <c r="E349" s="8"/>
      <c r="F349" s="8"/>
      <c r="G349" s="4">
        <f>SUM(G350)</f>
        <v>185</v>
      </c>
      <c r="H349" s="4">
        <f>SUM(H350)</f>
        <v>185</v>
      </c>
      <c r="I349" s="4">
        <f>SUM(I350)</f>
        <v>185</v>
      </c>
      <c r="J349" s="21"/>
      <c r="K349" s="21"/>
      <c r="L349" s="21"/>
      <c r="M349" s="21"/>
      <c r="N349" s="21"/>
      <c r="O349" s="21"/>
    </row>
    <row r="350" spans="1:15" ht="25.5" customHeight="1" x14ac:dyDescent="0.2">
      <c r="A350" s="18" t="s">
        <v>372</v>
      </c>
      <c r="B350" s="22">
        <v>913</v>
      </c>
      <c r="C350" s="19">
        <v>10</v>
      </c>
      <c r="D350" s="19" t="s">
        <v>16</v>
      </c>
      <c r="E350" s="19" t="s">
        <v>86</v>
      </c>
      <c r="F350" s="19"/>
      <c r="G350" s="20">
        <f>G351</f>
        <v>185</v>
      </c>
      <c r="H350" s="20">
        <f>H351</f>
        <v>185</v>
      </c>
      <c r="I350" s="20">
        <f>I351</f>
        <v>185</v>
      </c>
    </row>
    <row r="351" spans="1:15" s="29" customFormat="1" x14ac:dyDescent="0.2">
      <c r="A351" s="87" t="s">
        <v>69</v>
      </c>
      <c r="B351" s="35">
        <v>913</v>
      </c>
      <c r="C351" s="27">
        <v>10</v>
      </c>
      <c r="D351" s="27" t="s">
        <v>16</v>
      </c>
      <c r="E351" s="27" t="s">
        <v>86</v>
      </c>
      <c r="F351" s="27" t="s">
        <v>70</v>
      </c>
      <c r="G351" s="28">
        <v>185</v>
      </c>
      <c r="H351" s="28">
        <v>185</v>
      </c>
      <c r="I351" s="28">
        <v>185</v>
      </c>
      <c r="J351" s="21"/>
      <c r="K351" s="21"/>
      <c r="L351" s="21"/>
      <c r="M351" s="21"/>
      <c r="N351" s="21"/>
      <c r="O351" s="21"/>
    </row>
    <row r="352" spans="1:15" s="9" customFormat="1" ht="29.25" customHeight="1" x14ac:dyDescent="0.2">
      <c r="A352" s="47" t="s">
        <v>49</v>
      </c>
      <c r="B352" s="44">
        <v>915</v>
      </c>
      <c r="C352" s="48"/>
      <c r="D352" s="48"/>
      <c r="E352" s="48"/>
      <c r="F352" s="48"/>
      <c r="G352" s="46">
        <f>G357+G353</f>
        <v>632344.1</v>
      </c>
      <c r="H352" s="46">
        <f t="shared" ref="H352:I352" si="45">H357+H353</f>
        <v>625205</v>
      </c>
      <c r="I352" s="46">
        <f t="shared" si="45"/>
        <v>630333</v>
      </c>
      <c r="J352" s="72"/>
      <c r="K352" s="72"/>
      <c r="L352" s="3"/>
      <c r="M352" s="3"/>
      <c r="N352" s="3"/>
      <c r="O352" s="3"/>
    </row>
    <row r="353" spans="1:16" s="3" customFormat="1" x14ac:dyDescent="0.2">
      <c r="A353" s="13" t="s">
        <v>37</v>
      </c>
      <c r="B353" s="49">
        <v>915</v>
      </c>
      <c r="C353" s="1" t="s">
        <v>19</v>
      </c>
      <c r="D353" s="1"/>
      <c r="E353" s="1"/>
      <c r="F353" s="1"/>
      <c r="G353" s="2">
        <f t="shared" ref="G353:I355" si="46">G354</f>
        <v>193</v>
      </c>
      <c r="H353" s="2">
        <f t="shared" si="46"/>
        <v>193</v>
      </c>
      <c r="I353" s="2">
        <f t="shared" si="46"/>
        <v>193</v>
      </c>
      <c r="J353" s="21"/>
      <c r="K353" s="21"/>
      <c r="L353" s="21"/>
      <c r="M353" s="21"/>
      <c r="N353" s="21"/>
      <c r="O353" s="21"/>
      <c r="P353" s="21"/>
    </row>
    <row r="354" spans="1:16" x14ac:dyDescent="0.2">
      <c r="A354" s="11" t="s">
        <v>40</v>
      </c>
      <c r="B354" s="11">
        <v>915</v>
      </c>
      <c r="C354" s="8" t="s">
        <v>19</v>
      </c>
      <c r="D354" s="8" t="s">
        <v>19</v>
      </c>
      <c r="E354" s="8"/>
      <c r="F354" s="8"/>
      <c r="G354" s="4">
        <f t="shared" si="46"/>
        <v>193</v>
      </c>
      <c r="H354" s="4">
        <f t="shared" si="46"/>
        <v>193</v>
      </c>
      <c r="I354" s="4">
        <f t="shared" si="46"/>
        <v>193</v>
      </c>
    </row>
    <row r="355" spans="1:16" ht="25.5" x14ac:dyDescent="0.2">
      <c r="A355" s="18" t="s">
        <v>271</v>
      </c>
      <c r="B355" s="18">
        <v>915</v>
      </c>
      <c r="C355" s="19" t="s">
        <v>19</v>
      </c>
      <c r="D355" s="19" t="s">
        <v>19</v>
      </c>
      <c r="E355" s="19" t="s">
        <v>141</v>
      </c>
      <c r="F355" s="19"/>
      <c r="G355" s="20">
        <f t="shared" si="46"/>
        <v>193</v>
      </c>
      <c r="H355" s="20">
        <f t="shared" si="46"/>
        <v>193</v>
      </c>
      <c r="I355" s="20">
        <f t="shared" si="46"/>
        <v>193</v>
      </c>
    </row>
    <row r="356" spans="1:16" ht="51" customHeight="1" x14ac:dyDescent="0.2">
      <c r="A356" s="26" t="s">
        <v>66</v>
      </c>
      <c r="B356" s="26">
        <v>915</v>
      </c>
      <c r="C356" s="27" t="s">
        <v>19</v>
      </c>
      <c r="D356" s="27" t="s">
        <v>19</v>
      </c>
      <c r="E356" s="27" t="s">
        <v>141</v>
      </c>
      <c r="F356" s="30" t="s">
        <v>67</v>
      </c>
      <c r="G356" s="28">
        <f>195.4-2.4</f>
        <v>193</v>
      </c>
      <c r="H356" s="28">
        <v>193</v>
      </c>
      <c r="I356" s="28">
        <v>193</v>
      </c>
    </row>
    <row r="357" spans="1:16" s="3" customFormat="1" x14ac:dyDescent="0.2">
      <c r="A357" s="13" t="s">
        <v>52</v>
      </c>
      <c r="B357" s="49">
        <v>915</v>
      </c>
      <c r="C357" s="1" t="s">
        <v>51</v>
      </c>
      <c r="D357" s="1"/>
      <c r="E357" s="1"/>
      <c r="F357" s="1"/>
      <c r="G357" s="2">
        <f>G358+G362+G375+G435+G448</f>
        <v>632151.1</v>
      </c>
      <c r="H357" s="2">
        <f>H358+H362+H375+H435+H448</f>
        <v>625012</v>
      </c>
      <c r="I357" s="2">
        <f>I358+I362+I375+I435+I448</f>
        <v>630140</v>
      </c>
      <c r="J357" s="21"/>
      <c r="K357" s="21"/>
      <c r="L357" s="21"/>
      <c r="M357" s="21"/>
      <c r="N357" s="21"/>
      <c r="O357" s="21"/>
    </row>
    <row r="358" spans="1:16" s="9" customFormat="1" x14ac:dyDescent="0.2">
      <c r="A358" s="11" t="s">
        <v>53</v>
      </c>
      <c r="B358" s="14">
        <v>915</v>
      </c>
      <c r="C358" s="8" t="s">
        <v>51</v>
      </c>
      <c r="D358" s="8" t="s">
        <v>12</v>
      </c>
      <c r="E358" s="8"/>
      <c r="F358" s="8"/>
      <c r="G358" s="4">
        <f>G359</f>
        <v>5805.4</v>
      </c>
      <c r="H358" s="4">
        <f>H359</f>
        <v>5805.4</v>
      </c>
      <c r="I358" s="4">
        <f>I359</f>
        <v>5805.4</v>
      </c>
      <c r="J358" s="21"/>
      <c r="K358" s="21"/>
      <c r="L358" s="21"/>
      <c r="M358" s="21"/>
      <c r="N358" s="29"/>
      <c r="O358" s="29"/>
    </row>
    <row r="359" spans="1:16" ht="75" customHeight="1" x14ac:dyDescent="0.2">
      <c r="A359" s="18" t="s">
        <v>272</v>
      </c>
      <c r="B359" s="22">
        <v>915</v>
      </c>
      <c r="C359" s="19" t="s">
        <v>51</v>
      </c>
      <c r="D359" s="19" t="s">
        <v>12</v>
      </c>
      <c r="E359" s="19" t="s">
        <v>273</v>
      </c>
      <c r="F359" s="19"/>
      <c r="G359" s="20">
        <f>G361+G360</f>
        <v>5805.4</v>
      </c>
      <c r="H359" s="20">
        <f>H361+H360</f>
        <v>5805.4</v>
      </c>
      <c r="I359" s="20">
        <f>I361+I360</f>
        <v>5805.4</v>
      </c>
    </row>
    <row r="360" spans="1:16" ht="25.5" x14ac:dyDescent="0.2">
      <c r="A360" s="31" t="s">
        <v>76</v>
      </c>
      <c r="B360" s="26">
        <v>915</v>
      </c>
      <c r="C360" s="27" t="s">
        <v>51</v>
      </c>
      <c r="D360" s="27" t="s">
        <v>12</v>
      </c>
      <c r="E360" s="27" t="s">
        <v>273</v>
      </c>
      <c r="F360" s="30" t="s">
        <v>68</v>
      </c>
      <c r="G360" s="28">
        <v>28.9</v>
      </c>
      <c r="H360" s="28">
        <v>28.9</v>
      </c>
      <c r="I360" s="28">
        <v>28.9</v>
      </c>
    </row>
    <row r="361" spans="1:16" s="29" customFormat="1" x14ac:dyDescent="0.2">
      <c r="A361" s="31" t="s">
        <v>69</v>
      </c>
      <c r="B361" s="35">
        <v>915</v>
      </c>
      <c r="C361" s="27" t="s">
        <v>51</v>
      </c>
      <c r="D361" s="27" t="s">
        <v>12</v>
      </c>
      <c r="E361" s="27" t="s">
        <v>273</v>
      </c>
      <c r="F361" s="27" t="s">
        <v>70</v>
      </c>
      <c r="G361" s="28">
        <v>5776.5</v>
      </c>
      <c r="H361" s="28">
        <v>5776.5</v>
      </c>
      <c r="I361" s="28">
        <v>5776.5</v>
      </c>
      <c r="J361" s="21"/>
      <c r="K361" s="21"/>
      <c r="L361" s="21"/>
      <c r="M361" s="21"/>
    </row>
    <row r="362" spans="1:16" s="9" customFormat="1" x14ac:dyDescent="0.2">
      <c r="A362" s="11" t="s">
        <v>54</v>
      </c>
      <c r="B362" s="14">
        <v>915</v>
      </c>
      <c r="C362" s="8" t="s">
        <v>51</v>
      </c>
      <c r="D362" s="8" t="s">
        <v>14</v>
      </c>
      <c r="E362" s="8"/>
      <c r="F362" s="8"/>
      <c r="G362" s="4">
        <f>G363+G365+G370+G373</f>
        <v>149878.1</v>
      </c>
      <c r="H362" s="4">
        <f>H363+H365+H370+H373</f>
        <v>149192</v>
      </c>
      <c r="I362" s="4">
        <f>I363+I365+I370+I373</f>
        <v>149192</v>
      </c>
      <c r="J362" s="21"/>
      <c r="K362" s="21"/>
      <c r="L362" s="21"/>
      <c r="M362" s="21"/>
      <c r="N362" s="29"/>
      <c r="O362" s="29"/>
    </row>
    <row r="363" spans="1:16" ht="51" x14ac:dyDescent="0.2">
      <c r="A363" s="18" t="s">
        <v>274</v>
      </c>
      <c r="B363" s="22">
        <v>915</v>
      </c>
      <c r="C363" s="19" t="s">
        <v>51</v>
      </c>
      <c r="D363" s="19" t="s">
        <v>14</v>
      </c>
      <c r="E363" s="19" t="s">
        <v>98</v>
      </c>
      <c r="F363" s="19"/>
      <c r="G363" s="20">
        <f>G364</f>
        <v>107263</v>
      </c>
      <c r="H363" s="20">
        <f>H364</f>
        <v>107263</v>
      </c>
      <c r="I363" s="20">
        <f>I364</f>
        <v>107263</v>
      </c>
      <c r="N363" s="29"/>
      <c r="O363" s="29"/>
    </row>
    <row r="364" spans="1:16" s="29" customFormat="1" ht="25.5" x14ac:dyDescent="0.2">
      <c r="A364" s="31" t="s">
        <v>144</v>
      </c>
      <c r="B364" s="35">
        <v>915</v>
      </c>
      <c r="C364" s="27" t="s">
        <v>51</v>
      </c>
      <c r="D364" s="27" t="s">
        <v>14</v>
      </c>
      <c r="E364" s="27" t="s">
        <v>99</v>
      </c>
      <c r="F364" s="27" t="s">
        <v>65</v>
      </c>
      <c r="G364" s="28">
        <f>85897+21366</f>
        <v>107263</v>
      </c>
      <c r="H364" s="28">
        <f>85897+21366</f>
        <v>107263</v>
      </c>
      <c r="I364" s="28">
        <f>85897+21366</f>
        <v>107263</v>
      </c>
      <c r="J364" s="21"/>
      <c r="K364" s="21"/>
      <c r="L364" s="21"/>
      <c r="M364" s="21"/>
      <c r="N364" s="21"/>
      <c r="O364" s="21"/>
    </row>
    <row r="365" spans="1:16" ht="62.25" customHeight="1" x14ac:dyDescent="0.2">
      <c r="A365" s="18" t="s">
        <v>275</v>
      </c>
      <c r="B365" s="22">
        <v>915</v>
      </c>
      <c r="C365" s="19" t="s">
        <v>51</v>
      </c>
      <c r="D365" s="19" t="s">
        <v>14</v>
      </c>
      <c r="E365" s="19" t="s">
        <v>101</v>
      </c>
      <c r="F365" s="19"/>
      <c r="G365" s="20">
        <f>G366+G368+G369+G367</f>
        <v>41745</v>
      </c>
      <c r="H365" s="20">
        <f t="shared" ref="H365:I365" si="47">H366+H368+H369+H367</f>
        <v>41745</v>
      </c>
      <c r="I365" s="20">
        <f t="shared" si="47"/>
        <v>41745</v>
      </c>
      <c r="J365" s="29"/>
      <c r="K365" s="29"/>
      <c r="L365" s="29"/>
      <c r="M365" s="29"/>
      <c r="N365" s="29"/>
      <c r="O365" s="29"/>
    </row>
    <row r="366" spans="1:16" s="29" customFormat="1" ht="54" customHeight="1" x14ac:dyDescent="0.2">
      <c r="A366" s="26" t="s">
        <v>66</v>
      </c>
      <c r="B366" s="35">
        <v>915</v>
      </c>
      <c r="C366" s="27" t="s">
        <v>51</v>
      </c>
      <c r="D366" s="27" t="s">
        <v>14</v>
      </c>
      <c r="E366" s="27" t="s">
        <v>101</v>
      </c>
      <c r="F366" s="30" t="s">
        <v>67</v>
      </c>
      <c r="G366" s="28">
        <f>33290+1417</f>
        <v>34707</v>
      </c>
      <c r="H366" s="28">
        <f>33290+1417</f>
        <v>34707</v>
      </c>
      <c r="I366" s="28">
        <f>33290+1417</f>
        <v>34707</v>
      </c>
      <c r="J366" s="21"/>
      <c r="K366" s="21"/>
      <c r="L366" s="21"/>
      <c r="M366" s="21"/>
    </row>
    <row r="367" spans="1:16" s="29" customFormat="1" ht="25.5" x14ac:dyDescent="0.2">
      <c r="A367" s="31" t="s">
        <v>76</v>
      </c>
      <c r="B367" s="35">
        <v>915</v>
      </c>
      <c r="C367" s="27" t="s">
        <v>51</v>
      </c>
      <c r="D367" s="27" t="s">
        <v>14</v>
      </c>
      <c r="E367" s="27" t="s">
        <v>101</v>
      </c>
      <c r="F367" s="30" t="s">
        <v>68</v>
      </c>
      <c r="G367" s="28">
        <f>180+6544-2.3</f>
        <v>6721.7</v>
      </c>
      <c r="H367" s="28">
        <f>180+6544</f>
        <v>6724</v>
      </c>
      <c r="I367" s="28">
        <f>180+6544</f>
        <v>6724</v>
      </c>
      <c r="J367" s="9"/>
      <c r="K367" s="9"/>
      <c r="L367" s="9"/>
      <c r="M367" s="9"/>
      <c r="N367" s="9"/>
      <c r="O367" s="9"/>
    </row>
    <row r="368" spans="1:16" s="29" customFormat="1" x14ac:dyDescent="0.2">
      <c r="A368" s="31" t="s">
        <v>69</v>
      </c>
      <c r="B368" s="35">
        <v>915</v>
      </c>
      <c r="C368" s="27" t="s">
        <v>51</v>
      </c>
      <c r="D368" s="27" t="s">
        <v>14</v>
      </c>
      <c r="E368" s="27" t="s">
        <v>101</v>
      </c>
      <c r="F368" s="30" t="s">
        <v>70</v>
      </c>
      <c r="G368" s="28">
        <v>2.2999999999999998</v>
      </c>
      <c r="H368" s="28">
        <v>0</v>
      </c>
      <c r="I368" s="28">
        <v>0</v>
      </c>
      <c r="J368" s="9"/>
      <c r="K368" s="9"/>
      <c r="L368" s="9"/>
      <c r="M368" s="9"/>
      <c r="N368" s="9"/>
      <c r="O368" s="9"/>
    </row>
    <row r="369" spans="1:15" s="29" customFormat="1" x14ac:dyDescent="0.2">
      <c r="A369" s="31" t="s">
        <v>72</v>
      </c>
      <c r="B369" s="35">
        <v>915</v>
      </c>
      <c r="C369" s="27" t="s">
        <v>51</v>
      </c>
      <c r="D369" s="27" t="s">
        <v>14</v>
      </c>
      <c r="E369" s="27" t="s">
        <v>101</v>
      </c>
      <c r="F369" s="27" t="s">
        <v>73</v>
      </c>
      <c r="G369" s="28">
        <v>314</v>
      </c>
      <c r="H369" s="28">
        <v>314</v>
      </c>
      <c r="I369" s="28">
        <v>314</v>
      </c>
      <c r="J369" s="21"/>
      <c r="K369" s="21"/>
      <c r="L369" s="21"/>
      <c r="M369" s="21"/>
      <c r="N369" s="21"/>
      <c r="O369" s="21"/>
    </row>
    <row r="370" spans="1:15" ht="25.5" x14ac:dyDescent="0.2">
      <c r="A370" s="18" t="s">
        <v>276</v>
      </c>
      <c r="B370" s="22">
        <v>915</v>
      </c>
      <c r="C370" s="19" t="s">
        <v>51</v>
      </c>
      <c r="D370" s="19" t="s">
        <v>14</v>
      </c>
      <c r="E370" s="19" t="s">
        <v>350</v>
      </c>
      <c r="F370" s="19"/>
      <c r="G370" s="20">
        <f>G371+G372</f>
        <v>717.1</v>
      </c>
      <c r="H370" s="20">
        <f>H371+H372</f>
        <v>31</v>
      </c>
      <c r="I370" s="20">
        <f>I371+I372</f>
        <v>31</v>
      </c>
    </row>
    <row r="371" spans="1:15" s="29" customFormat="1" ht="51.75" customHeight="1" x14ac:dyDescent="0.2">
      <c r="A371" s="34" t="s">
        <v>66</v>
      </c>
      <c r="B371" s="36">
        <v>915</v>
      </c>
      <c r="C371" s="27" t="s">
        <v>51</v>
      </c>
      <c r="D371" s="27" t="s">
        <v>14</v>
      </c>
      <c r="E371" s="27" t="s">
        <v>350</v>
      </c>
      <c r="F371" s="30" t="s">
        <v>67</v>
      </c>
      <c r="G371" s="28">
        <f>17.2</f>
        <v>17.2</v>
      </c>
      <c r="H371" s="28">
        <v>17.2</v>
      </c>
      <c r="I371" s="28">
        <v>17.2</v>
      </c>
      <c r="J371" s="21"/>
      <c r="K371" s="21"/>
      <c r="L371" s="21"/>
      <c r="M371" s="21"/>
      <c r="N371" s="21"/>
      <c r="O371" s="21"/>
    </row>
    <row r="372" spans="1:15" s="29" customFormat="1" ht="25.5" x14ac:dyDescent="0.2">
      <c r="A372" s="31" t="s">
        <v>76</v>
      </c>
      <c r="B372" s="35">
        <v>915</v>
      </c>
      <c r="C372" s="27" t="s">
        <v>51</v>
      </c>
      <c r="D372" s="27" t="s">
        <v>14</v>
      </c>
      <c r="E372" s="27" t="s">
        <v>350</v>
      </c>
      <c r="F372" s="30" t="s">
        <v>68</v>
      </c>
      <c r="G372" s="28">
        <v>699.9</v>
      </c>
      <c r="H372" s="28">
        <v>13.8</v>
      </c>
      <c r="I372" s="28">
        <v>13.8</v>
      </c>
      <c r="J372" s="21"/>
      <c r="K372" s="21"/>
      <c r="L372" s="21"/>
      <c r="M372" s="21"/>
      <c r="N372" s="21"/>
      <c r="O372" s="21"/>
    </row>
    <row r="373" spans="1:15" ht="75" customHeight="1" x14ac:dyDescent="0.2">
      <c r="A373" s="18" t="s">
        <v>282</v>
      </c>
      <c r="B373" s="22">
        <v>915</v>
      </c>
      <c r="C373" s="19" t="s">
        <v>51</v>
      </c>
      <c r="D373" s="19" t="s">
        <v>14</v>
      </c>
      <c r="E373" s="19" t="s">
        <v>119</v>
      </c>
      <c r="F373" s="19"/>
      <c r="G373" s="20">
        <f>G374</f>
        <v>153</v>
      </c>
      <c r="H373" s="20">
        <f>H374</f>
        <v>153</v>
      </c>
      <c r="I373" s="20">
        <f>I374</f>
        <v>153</v>
      </c>
    </row>
    <row r="374" spans="1:15" s="29" customFormat="1" ht="50.25" customHeight="1" x14ac:dyDescent="0.2">
      <c r="A374" s="34" t="s">
        <v>66</v>
      </c>
      <c r="B374" s="35">
        <v>915</v>
      </c>
      <c r="C374" s="27" t="s">
        <v>51</v>
      </c>
      <c r="D374" s="27" t="s">
        <v>14</v>
      </c>
      <c r="E374" s="27" t="s">
        <v>119</v>
      </c>
      <c r="F374" s="27" t="s">
        <v>67</v>
      </c>
      <c r="G374" s="28">
        <v>153</v>
      </c>
      <c r="H374" s="28">
        <v>153</v>
      </c>
      <c r="I374" s="28">
        <v>153</v>
      </c>
    </row>
    <row r="375" spans="1:15" s="9" customFormat="1" x14ac:dyDescent="0.2">
      <c r="A375" s="11" t="s">
        <v>55</v>
      </c>
      <c r="B375" s="14">
        <v>915</v>
      </c>
      <c r="C375" s="8" t="s">
        <v>51</v>
      </c>
      <c r="D375" s="8" t="s">
        <v>16</v>
      </c>
      <c r="E375" s="8"/>
      <c r="F375" s="8"/>
      <c r="G375" s="4">
        <f>G379+G382+G385+G388+G391+G394+G397+G400+G403+G406+G409+G412+G414+G417+G420+G423+G426+G429+G432+G376</f>
        <v>322050.2</v>
      </c>
      <c r="H375" s="4">
        <f t="shared" ref="H375:I375" si="48">H379+H382+H385+H388+H391+H394+H397+H400+H403+H406+H409+H412+H414+H417+H420+H423+H426+H429+H432+H376</f>
        <v>329577.2</v>
      </c>
      <c r="I375" s="4">
        <f t="shared" si="48"/>
        <v>329937.2</v>
      </c>
      <c r="J375" s="79"/>
      <c r="K375" s="79"/>
      <c r="L375" s="29"/>
      <c r="M375" s="29"/>
      <c r="N375" s="29"/>
      <c r="O375" s="29"/>
    </row>
    <row r="376" spans="1:15" ht="40.5" customHeight="1" x14ac:dyDescent="0.2">
      <c r="A376" s="18" t="s">
        <v>277</v>
      </c>
      <c r="B376" s="18">
        <v>915</v>
      </c>
      <c r="C376" s="19" t="s">
        <v>51</v>
      </c>
      <c r="D376" s="19" t="s">
        <v>16</v>
      </c>
      <c r="E376" s="19" t="s">
        <v>118</v>
      </c>
      <c r="F376" s="19"/>
      <c r="G376" s="20">
        <f>G378+G377</f>
        <v>462</v>
      </c>
      <c r="H376" s="20">
        <f>H378+H377</f>
        <v>521</v>
      </c>
      <c r="I376" s="20">
        <f>I378+I377</f>
        <v>541</v>
      </c>
      <c r="N376" s="29"/>
      <c r="O376" s="29"/>
    </row>
    <row r="377" spans="1:15" ht="25.5" x14ac:dyDescent="0.2">
      <c r="A377" s="31" t="s">
        <v>76</v>
      </c>
      <c r="B377" s="26">
        <v>915</v>
      </c>
      <c r="C377" s="27" t="s">
        <v>51</v>
      </c>
      <c r="D377" s="27" t="s">
        <v>16</v>
      </c>
      <c r="E377" s="27" t="s">
        <v>118</v>
      </c>
      <c r="F377" s="30" t="s">
        <v>68</v>
      </c>
      <c r="G377" s="28">
        <v>2.2000000000000002</v>
      </c>
      <c r="H377" s="28">
        <v>2.2000000000000002</v>
      </c>
      <c r="I377" s="28">
        <v>2.2000000000000002</v>
      </c>
    </row>
    <row r="378" spans="1:15" x14ac:dyDescent="0.2">
      <c r="A378" s="31" t="s">
        <v>69</v>
      </c>
      <c r="B378" s="31">
        <v>915</v>
      </c>
      <c r="C378" s="27" t="s">
        <v>51</v>
      </c>
      <c r="D378" s="27" t="s">
        <v>16</v>
      </c>
      <c r="E378" s="27" t="s">
        <v>118</v>
      </c>
      <c r="F378" s="27" t="s">
        <v>70</v>
      </c>
      <c r="G378" s="28">
        <v>459.8</v>
      </c>
      <c r="H378" s="28">
        <v>518.79999999999995</v>
      </c>
      <c r="I378" s="28">
        <v>538.79999999999995</v>
      </c>
      <c r="J378" s="29"/>
      <c r="K378" s="29"/>
      <c r="L378" s="29"/>
      <c r="M378" s="29"/>
      <c r="N378" s="29"/>
      <c r="O378" s="29"/>
    </row>
    <row r="379" spans="1:15" ht="38.25" x14ac:dyDescent="0.2">
      <c r="A379" s="18" t="s">
        <v>278</v>
      </c>
      <c r="B379" s="22">
        <v>915</v>
      </c>
      <c r="C379" s="19" t="s">
        <v>51</v>
      </c>
      <c r="D379" s="19" t="s">
        <v>16</v>
      </c>
      <c r="E379" s="19" t="s">
        <v>103</v>
      </c>
      <c r="F379" s="19"/>
      <c r="G379" s="20">
        <f>G381+G380</f>
        <v>8158</v>
      </c>
      <c r="H379" s="20">
        <f>H381+H380</f>
        <v>8484</v>
      </c>
      <c r="I379" s="20">
        <f>I381+I380</f>
        <v>8824</v>
      </c>
      <c r="N379" s="29"/>
      <c r="O379" s="29"/>
    </row>
    <row r="380" spans="1:15" s="29" customFormat="1" ht="25.5" x14ac:dyDescent="0.2">
      <c r="A380" s="31" t="s">
        <v>76</v>
      </c>
      <c r="B380" s="26">
        <v>915</v>
      </c>
      <c r="C380" s="27" t="s">
        <v>51</v>
      </c>
      <c r="D380" s="27" t="s">
        <v>16</v>
      </c>
      <c r="E380" s="27" t="s">
        <v>103</v>
      </c>
      <c r="F380" s="30" t="s">
        <v>68</v>
      </c>
      <c r="G380" s="28">
        <v>40</v>
      </c>
      <c r="H380" s="28">
        <v>43</v>
      </c>
      <c r="I380" s="28">
        <v>44</v>
      </c>
      <c r="J380" s="21"/>
      <c r="K380" s="21"/>
      <c r="L380" s="21"/>
      <c r="M380" s="21"/>
      <c r="N380" s="21"/>
      <c r="O380" s="21"/>
    </row>
    <row r="381" spans="1:15" s="29" customFormat="1" x14ac:dyDescent="0.2">
      <c r="A381" s="31" t="s">
        <v>69</v>
      </c>
      <c r="B381" s="35">
        <v>915</v>
      </c>
      <c r="C381" s="27" t="s">
        <v>51</v>
      </c>
      <c r="D381" s="27" t="s">
        <v>16</v>
      </c>
      <c r="E381" s="27" t="s">
        <v>103</v>
      </c>
      <c r="F381" s="27" t="s">
        <v>70</v>
      </c>
      <c r="G381" s="28">
        <f>8166-48</f>
        <v>8118</v>
      </c>
      <c r="H381" s="28">
        <f>8491-50</f>
        <v>8441</v>
      </c>
      <c r="I381" s="28">
        <f>8832-52</f>
        <v>8780</v>
      </c>
    </row>
    <row r="382" spans="1:15" ht="25.5" x14ac:dyDescent="0.2">
      <c r="A382" s="18" t="s">
        <v>279</v>
      </c>
      <c r="B382" s="22">
        <v>915</v>
      </c>
      <c r="C382" s="19" t="s">
        <v>51</v>
      </c>
      <c r="D382" s="19" t="s">
        <v>16</v>
      </c>
      <c r="E382" s="19" t="s">
        <v>105</v>
      </c>
      <c r="F382" s="19"/>
      <c r="G382" s="20">
        <f>G384+G383</f>
        <v>56361</v>
      </c>
      <c r="H382" s="20">
        <f>H384+H383</f>
        <v>57502</v>
      </c>
      <c r="I382" s="20">
        <f>I384+I383</f>
        <v>57502</v>
      </c>
      <c r="N382" s="29"/>
      <c r="O382" s="29"/>
    </row>
    <row r="383" spans="1:15" s="29" customFormat="1" ht="25.5" x14ac:dyDescent="0.2">
      <c r="A383" s="31" t="s">
        <v>76</v>
      </c>
      <c r="B383" s="26">
        <v>915</v>
      </c>
      <c r="C383" s="27" t="s">
        <v>51</v>
      </c>
      <c r="D383" s="27" t="s">
        <v>16</v>
      </c>
      <c r="E383" s="27" t="s">
        <v>105</v>
      </c>
      <c r="F383" s="30" t="s">
        <v>68</v>
      </c>
      <c r="G383" s="28">
        <f>561.5+146.5</f>
        <v>708</v>
      </c>
      <c r="H383" s="28">
        <f>571.5+161.5</f>
        <v>733</v>
      </c>
      <c r="I383" s="28">
        <f>571.5+161.5</f>
        <v>733</v>
      </c>
      <c r="J383" s="21"/>
      <c r="K383" s="21"/>
      <c r="L383" s="21"/>
      <c r="M383" s="21"/>
      <c r="N383" s="21"/>
      <c r="O383" s="21"/>
    </row>
    <row r="384" spans="1:15" s="29" customFormat="1" x14ac:dyDescent="0.2">
      <c r="A384" s="31" t="s">
        <v>69</v>
      </c>
      <c r="B384" s="35">
        <v>915</v>
      </c>
      <c r="C384" s="27" t="s">
        <v>51</v>
      </c>
      <c r="D384" s="27" t="s">
        <v>16</v>
      </c>
      <c r="E384" s="27" t="s">
        <v>105</v>
      </c>
      <c r="F384" s="27" t="s">
        <v>70</v>
      </c>
      <c r="G384" s="28">
        <v>55653</v>
      </c>
      <c r="H384" s="28">
        <v>56769</v>
      </c>
      <c r="I384" s="28">
        <v>56769</v>
      </c>
    </row>
    <row r="385" spans="1:15" ht="77.25" customHeight="1" x14ac:dyDescent="0.2">
      <c r="A385" s="18" t="s">
        <v>280</v>
      </c>
      <c r="B385" s="22">
        <v>915</v>
      </c>
      <c r="C385" s="19" t="s">
        <v>51</v>
      </c>
      <c r="D385" s="19" t="s">
        <v>16</v>
      </c>
      <c r="E385" s="19" t="s">
        <v>104</v>
      </c>
      <c r="F385" s="19"/>
      <c r="G385" s="20">
        <f>G386+G387</f>
        <v>9</v>
      </c>
      <c r="H385" s="20">
        <f>H386+H387</f>
        <v>10</v>
      </c>
      <c r="I385" s="20">
        <f>I386+I387</f>
        <v>10</v>
      </c>
      <c r="N385" s="29"/>
      <c r="O385" s="29"/>
    </row>
    <row r="386" spans="1:15" s="29" customFormat="1" ht="25.5" x14ac:dyDescent="0.2">
      <c r="A386" s="31" t="s">
        <v>76</v>
      </c>
      <c r="B386" s="26">
        <v>915</v>
      </c>
      <c r="C386" s="27" t="s">
        <v>51</v>
      </c>
      <c r="D386" s="27" t="s">
        <v>16</v>
      </c>
      <c r="E386" s="27" t="s">
        <v>104</v>
      </c>
      <c r="F386" s="30" t="s">
        <v>68</v>
      </c>
      <c r="G386" s="28">
        <v>0.1</v>
      </c>
      <c r="H386" s="28">
        <v>0.1</v>
      </c>
      <c r="I386" s="28">
        <v>0.1</v>
      </c>
      <c r="J386" s="21"/>
      <c r="K386" s="21"/>
      <c r="L386" s="21"/>
      <c r="M386" s="21"/>
      <c r="N386" s="21"/>
      <c r="O386" s="21"/>
    </row>
    <row r="387" spans="1:15" s="29" customFormat="1" x14ac:dyDescent="0.2">
      <c r="A387" s="31" t="s">
        <v>69</v>
      </c>
      <c r="B387" s="35">
        <v>915</v>
      </c>
      <c r="C387" s="27" t="s">
        <v>51</v>
      </c>
      <c r="D387" s="27" t="s">
        <v>16</v>
      </c>
      <c r="E387" s="27" t="s">
        <v>104</v>
      </c>
      <c r="F387" s="27" t="s">
        <v>70</v>
      </c>
      <c r="G387" s="28">
        <v>8.9</v>
      </c>
      <c r="H387" s="28">
        <v>9.9</v>
      </c>
      <c r="I387" s="28">
        <v>9.9</v>
      </c>
    </row>
    <row r="388" spans="1:15" ht="63.75" x14ac:dyDescent="0.2">
      <c r="A388" s="18" t="s">
        <v>185</v>
      </c>
      <c r="B388" s="22">
        <v>915</v>
      </c>
      <c r="C388" s="19" t="s">
        <v>51</v>
      </c>
      <c r="D388" s="19" t="s">
        <v>16</v>
      </c>
      <c r="E388" s="19" t="s">
        <v>93</v>
      </c>
      <c r="F388" s="19"/>
      <c r="G388" s="20">
        <f>G390+G389</f>
        <v>26014</v>
      </c>
      <c r="H388" s="20">
        <f>H390+H389</f>
        <v>26014</v>
      </c>
      <c r="I388" s="20">
        <f>I390+I389</f>
        <v>26014</v>
      </c>
      <c r="N388" s="29"/>
      <c r="O388" s="29"/>
    </row>
    <row r="389" spans="1:15" s="29" customFormat="1" ht="25.5" x14ac:dyDescent="0.2">
      <c r="A389" s="31" t="s">
        <v>76</v>
      </c>
      <c r="B389" s="26">
        <v>915</v>
      </c>
      <c r="C389" s="27" t="s">
        <v>51</v>
      </c>
      <c r="D389" s="27" t="s">
        <v>16</v>
      </c>
      <c r="E389" s="27" t="s">
        <v>93</v>
      </c>
      <c r="F389" s="30" t="s">
        <v>68</v>
      </c>
      <c r="G389" s="28">
        <f>185.1+72.2</f>
        <v>257.3</v>
      </c>
      <c r="H389" s="28">
        <f>185.1+72.2</f>
        <v>257.3</v>
      </c>
      <c r="I389" s="28">
        <f>185.1+72.2</f>
        <v>257.3</v>
      </c>
      <c r="J389" s="21"/>
      <c r="K389" s="21"/>
      <c r="L389" s="21"/>
      <c r="M389" s="21"/>
      <c r="N389" s="21"/>
      <c r="O389" s="21"/>
    </row>
    <row r="390" spans="1:15" s="29" customFormat="1" x14ac:dyDescent="0.2">
      <c r="A390" s="31" t="s">
        <v>69</v>
      </c>
      <c r="B390" s="35">
        <v>915</v>
      </c>
      <c r="C390" s="27" t="s">
        <v>51</v>
      </c>
      <c r="D390" s="27" t="s">
        <v>16</v>
      </c>
      <c r="E390" s="27" t="s">
        <v>93</v>
      </c>
      <c r="F390" s="27" t="s">
        <v>70</v>
      </c>
      <c r="G390" s="28">
        <f>24301.7+1455</f>
        <v>25756.7</v>
      </c>
      <c r="H390" s="28">
        <f>24301.7+1455</f>
        <v>25756.7</v>
      </c>
      <c r="I390" s="28">
        <f>24301.7+1455</f>
        <v>25756.7</v>
      </c>
    </row>
    <row r="391" spans="1:15" ht="140.25" x14ac:dyDescent="0.2">
      <c r="A391" s="18" t="s">
        <v>342</v>
      </c>
      <c r="B391" s="22">
        <v>915</v>
      </c>
      <c r="C391" s="19" t="s">
        <v>51</v>
      </c>
      <c r="D391" s="19" t="s">
        <v>16</v>
      </c>
      <c r="E391" s="19" t="s">
        <v>94</v>
      </c>
      <c r="F391" s="19"/>
      <c r="G391" s="20">
        <f>G393+G392</f>
        <v>1612</v>
      </c>
      <c r="H391" s="20">
        <f>H393+H392</f>
        <v>1612</v>
      </c>
      <c r="I391" s="20">
        <f>I393+I392</f>
        <v>1612</v>
      </c>
      <c r="N391" s="29"/>
      <c r="O391" s="29"/>
    </row>
    <row r="392" spans="1:15" s="29" customFormat="1" ht="25.5" x14ac:dyDescent="0.2">
      <c r="A392" s="31" t="s">
        <v>76</v>
      </c>
      <c r="B392" s="35">
        <v>915</v>
      </c>
      <c r="C392" s="27" t="s">
        <v>51</v>
      </c>
      <c r="D392" s="27" t="s">
        <v>16</v>
      </c>
      <c r="E392" s="27" t="s">
        <v>94</v>
      </c>
      <c r="F392" s="30" t="s">
        <v>68</v>
      </c>
      <c r="G392" s="28">
        <f>28+1.6</f>
        <v>29.6</v>
      </c>
      <c r="H392" s="28">
        <f>28+1.6</f>
        <v>29.6</v>
      </c>
      <c r="I392" s="28">
        <f>28+1.6</f>
        <v>29.6</v>
      </c>
      <c r="J392" s="21"/>
      <c r="K392" s="21"/>
      <c r="L392" s="21"/>
      <c r="M392" s="21"/>
      <c r="N392" s="21"/>
      <c r="O392" s="21"/>
    </row>
    <row r="393" spans="1:15" s="29" customFormat="1" x14ac:dyDescent="0.2">
      <c r="A393" s="31" t="s">
        <v>69</v>
      </c>
      <c r="B393" s="35">
        <v>915</v>
      </c>
      <c r="C393" s="27" t="s">
        <v>51</v>
      </c>
      <c r="D393" s="27" t="s">
        <v>16</v>
      </c>
      <c r="E393" s="27" t="s">
        <v>94</v>
      </c>
      <c r="F393" s="27" t="s">
        <v>70</v>
      </c>
      <c r="G393" s="28">
        <f>1562.4+20</f>
        <v>1582.4</v>
      </c>
      <c r="H393" s="28">
        <f>1562.4+20</f>
        <v>1582.4</v>
      </c>
      <c r="I393" s="28">
        <f>1562.4+20</f>
        <v>1582.4</v>
      </c>
      <c r="J393" s="21"/>
      <c r="K393" s="21"/>
      <c r="L393" s="21"/>
      <c r="M393" s="21"/>
      <c r="N393" s="21"/>
      <c r="O393" s="21"/>
    </row>
    <row r="394" spans="1:15" ht="76.5" customHeight="1" x14ac:dyDescent="0.2">
      <c r="A394" s="18" t="s">
        <v>186</v>
      </c>
      <c r="B394" s="22">
        <v>915</v>
      </c>
      <c r="C394" s="19" t="s">
        <v>51</v>
      </c>
      <c r="D394" s="19" t="s">
        <v>16</v>
      </c>
      <c r="E394" s="19" t="s">
        <v>95</v>
      </c>
      <c r="F394" s="19"/>
      <c r="G394" s="20">
        <f>G396+G395</f>
        <v>9182</v>
      </c>
      <c r="H394" s="20">
        <f>H396+H395</f>
        <v>9182</v>
      </c>
      <c r="I394" s="20">
        <f>I396+I395</f>
        <v>9182</v>
      </c>
    </row>
    <row r="395" spans="1:15" s="29" customFormat="1" ht="25.5" x14ac:dyDescent="0.2">
      <c r="A395" s="31" t="s">
        <v>76</v>
      </c>
      <c r="B395" s="26">
        <v>915</v>
      </c>
      <c r="C395" s="27" t="s">
        <v>51</v>
      </c>
      <c r="D395" s="27" t="s">
        <v>16</v>
      </c>
      <c r="E395" s="27" t="s">
        <v>95</v>
      </c>
      <c r="F395" s="30" t="s">
        <v>68</v>
      </c>
      <c r="G395" s="28">
        <f>92.5+20.4</f>
        <v>112.9</v>
      </c>
      <c r="H395" s="28">
        <f>92.5+20.4</f>
        <v>112.9</v>
      </c>
      <c r="I395" s="28">
        <f>92.5+20.4</f>
        <v>112.9</v>
      </c>
      <c r="J395" s="21"/>
      <c r="K395" s="21"/>
      <c r="L395" s="21"/>
      <c r="M395" s="21"/>
      <c r="N395" s="21"/>
      <c r="O395" s="21"/>
    </row>
    <row r="396" spans="1:15" s="29" customFormat="1" x14ac:dyDescent="0.2">
      <c r="A396" s="31" t="s">
        <v>69</v>
      </c>
      <c r="B396" s="35">
        <v>915</v>
      </c>
      <c r="C396" s="27" t="s">
        <v>51</v>
      </c>
      <c r="D396" s="27" t="s">
        <v>16</v>
      </c>
      <c r="E396" s="27" t="s">
        <v>95</v>
      </c>
      <c r="F396" s="27" t="s">
        <v>70</v>
      </c>
      <c r="G396" s="28">
        <f>8903.1+166</f>
        <v>9069.1</v>
      </c>
      <c r="H396" s="28">
        <f>8903.1+166</f>
        <v>9069.1</v>
      </c>
      <c r="I396" s="28">
        <f>8903.1+166</f>
        <v>9069.1</v>
      </c>
    </row>
    <row r="397" spans="1:15" ht="51" x14ac:dyDescent="0.2">
      <c r="A397" s="18" t="s">
        <v>260</v>
      </c>
      <c r="B397" s="22">
        <v>915</v>
      </c>
      <c r="C397" s="19" t="s">
        <v>51</v>
      </c>
      <c r="D397" s="19" t="s">
        <v>16</v>
      </c>
      <c r="E397" s="19" t="s">
        <v>109</v>
      </c>
      <c r="F397" s="19"/>
      <c r="G397" s="20">
        <f>G399+G398</f>
        <v>12816.5</v>
      </c>
      <c r="H397" s="20">
        <f>H399+H398</f>
        <v>12816.5</v>
      </c>
      <c r="I397" s="20">
        <f>I399+I398</f>
        <v>12816.5</v>
      </c>
      <c r="N397" s="29"/>
      <c r="O397" s="29"/>
    </row>
    <row r="398" spans="1:15" s="29" customFormat="1" ht="25.5" x14ac:dyDescent="0.2">
      <c r="A398" s="31" t="s">
        <v>76</v>
      </c>
      <c r="B398" s="26">
        <v>915</v>
      </c>
      <c r="C398" s="27" t="s">
        <v>51</v>
      </c>
      <c r="D398" s="27" t="s">
        <v>16</v>
      </c>
      <c r="E398" s="27" t="s">
        <v>109</v>
      </c>
      <c r="F398" s="30" t="s">
        <v>68</v>
      </c>
      <c r="G398" s="28">
        <f>1+62.9</f>
        <v>63.9</v>
      </c>
      <c r="H398" s="28">
        <f>1+62.9</f>
        <v>63.9</v>
      </c>
      <c r="I398" s="28">
        <f>1+62.9</f>
        <v>63.9</v>
      </c>
      <c r="J398" s="21"/>
      <c r="K398" s="21"/>
      <c r="L398" s="21"/>
      <c r="M398" s="21"/>
      <c r="N398" s="21"/>
      <c r="O398" s="21"/>
    </row>
    <row r="399" spans="1:15" s="29" customFormat="1" x14ac:dyDescent="0.2">
      <c r="A399" s="31" t="s">
        <v>69</v>
      </c>
      <c r="B399" s="35">
        <v>915</v>
      </c>
      <c r="C399" s="27" t="s">
        <v>51</v>
      </c>
      <c r="D399" s="27" t="s">
        <v>16</v>
      </c>
      <c r="E399" s="27" t="s">
        <v>109</v>
      </c>
      <c r="F399" s="27" t="s">
        <v>70</v>
      </c>
      <c r="G399" s="28">
        <f>50+12702.6</f>
        <v>12752.6</v>
      </c>
      <c r="H399" s="28">
        <f>50+12702.6</f>
        <v>12752.6</v>
      </c>
      <c r="I399" s="28">
        <f>50+12702.6</f>
        <v>12752.6</v>
      </c>
    </row>
    <row r="400" spans="1:15" ht="63.75" x14ac:dyDescent="0.2">
      <c r="A400" s="18" t="s">
        <v>187</v>
      </c>
      <c r="B400" s="22">
        <v>915</v>
      </c>
      <c r="C400" s="19" t="s">
        <v>51</v>
      </c>
      <c r="D400" s="19" t="s">
        <v>16</v>
      </c>
      <c r="E400" s="19" t="s">
        <v>96</v>
      </c>
      <c r="F400" s="19"/>
      <c r="G400" s="20">
        <f>G402+G401</f>
        <v>460.29999999999995</v>
      </c>
      <c r="H400" s="20">
        <f>H402+H401</f>
        <v>460.29999999999995</v>
      </c>
      <c r="I400" s="20">
        <f>I402+I401</f>
        <v>460.29999999999995</v>
      </c>
      <c r="J400" s="29"/>
      <c r="K400" s="29"/>
      <c r="L400" s="29"/>
      <c r="M400" s="29"/>
      <c r="N400" s="29"/>
      <c r="O400" s="29"/>
    </row>
    <row r="401" spans="1:15" s="29" customFormat="1" ht="25.5" x14ac:dyDescent="0.2">
      <c r="A401" s="31" t="s">
        <v>76</v>
      </c>
      <c r="B401" s="26">
        <v>915</v>
      </c>
      <c r="C401" s="27" t="s">
        <v>51</v>
      </c>
      <c r="D401" s="27" t="s">
        <v>16</v>
      </c>
      <c r="E401" s="27" t="s">
        <v>96</v>
      </c>
      <c r="F401" s="30" t="s">
        <v>68</v>
      </c>
      <c r="G401" s="28">
        <f>3.1+1.8</f>
        <v>4.9000000000000004</v>
      </c>
      <c r="H401" s="28">
        <f>3.1+1.8</f>
        <v>4.9000000000000004</v>
      </c>
      <c r="I401" s="28">
        <f>3.1+1.8</f>
        <v>4.9000000000000004</v>
      </c>
      <c r="J401" s="21"/>
      <c r="K401" s="21"/>
      <c r="L401" s="21"/>
      <c r="M401" s="21"/>
      <c r="N401" s="21"/>
      <c r="O401" s="21"/>
    </row>
    <row r="402" spans="1:15" s="29" customFormat="1" x14ac:dyDescent="0.2">
      <c r="A402" s="31" t="s">
        <v>69</v>
      </c>
      <c r="B402" s="35">
        <v>915</v>
      </c>
      <c r="C402" s="27" t="s">
        <v>51</v>
      </c>
      <c r="D402" s="27" t="s">
        <v>16</v>
      </c>
      <c r="E402" s="27" t="s">
        <v>96</v>
      </c>
      <c r="F402" s="27" t="s">
        <v>70</v>
      </c>
      <c r="G402" s="28">
        <f>445.4+10</f>
        <v>455.4</v>
      </c>
      <c r="H402" s="28">
        <f>445.4+10</f>
        <v>455.4</v>
      </c>
      <c r="I402" s="28">
        <f>445.4+10</f>
        <v>455.4</v>
      </c>
    </row>
    <row r="403" spans="1:15" ht="63.75" x14ac:dyDescent="0.2">
      <c r="A403" s="18" t="s">
        <v>343</v>
      </c>
      <c r="B403" s="56">
        <v>915</v>
      </c>
      <c r="C403" s="19" t="s">
        <v>51</v>
      </c>
      <c r="D403" s="19" t="s">
        <v>16</v>
      </c>
      <c r="E403" s="19" t="s">
        <v>112</v>
      </c>
      <c r="F403" s="19"/>
      <c r="G403" s="20">
        <f>G405+G404</f>
        <v>10.299999999999999</v>
      </c>
      <c r="H403" s="20">
        <f>H405+H404</f>
        <v>10.299999999999999</v>
      </c>
      <c r="I403" s="20">
        <f>I405+I404</f>
        <v>10.299999999999999</v>
      </c>
      <c r="N403" s="29"/>
      <c r="O403" s="29"/>
    </row>
    <row r="404" spans="1:15" s="29" customFormat="1" ht="25.5" x14ac:dyDescent="0.2">
      <c r="A404" s="31" t="s">
        <v>76</v>
      </c>
      <c r="B404" s="26">
        <v>915</v>
      </c>
      <c r="C404" s="27" t="s">
        <v>51</v>
      </c>
      <c r="D404" s="27" t="s">
        <v>16</v>
      </c>
      <c r="E404" s="27" t="s">
        <v>112</v>
      </c>
      <c r="F404" s="30" t="s">
        <v>68</v>
      </c>
      <c r="G404" s="28">
        <v>0.1</v>
      </c>
      <c r="H404" s="28">
        <v>0.1</v>
      </c>
      <c r="I404" s="28">
        <v>0.1</v>
      </c>
      <c r="J404" s="21"/>
      <c r="K404" s="21"/>
      <c r="L404" s="21"/>
      <c r="M404" s="21"/>
      <c r="N404" s="21"/>
      <c r="O404" s="21"/>
    </row>
    <row r="405" spans="1:15" s="29" customFormat="1" x14ac:dyDescent="0.2">
      <c r="A405" s="31" t="s">
        <v>69</v>
      </c>
      <c r="B405" s="35">
        <v>915</v>
      </c>
      <c r="C405" s="27" t="s">
        <v>51</v>
      </c>
      <c r="D405" s="27" t="s">
        <v>16</v>
      </c>
      <c r="E405" s="27" t="s">
        <v>112</v>
      </c>
      <c r="F405" s="27" t="s">
        <v>70</v>
      </c>
      <c r="G405" s="28">
        <v>10.199999999999999</v>
      </c>
      <c r="H405" s="28">
        <v>10.199999999999999</v>
      </c>
      <c r="I405" s="28">
        <v>10.199999999999999</v>
      </c>
    </row>
    <row r="406" spans="1:15" ht="51" x14ac:dyDescent="0.2">
      <c r="A406" s="18" t="s">
        <v>188</v>
      </c>
      <c r="B406" s="22">
        <v>915</v>
      </c>
      <c r="C406" s="19" t="s">
        <v>51</v>
      </c>
      <c r="D406" s="19" t="s">
        <v>16</v>
      </c>
      <c r="E406" s="19" t="s">
        <v>97</v>
      </c>
      <c r="F406" s="19"/>
      <c r="G406" s="20">
        <f>G408+G407</f>
        <v>525.9</v>
      </c>
      <c r="H406" s="20">
        <f>H408+H407</f>
        <v>525.9</v>
      </c>
      <c r="I406" s="20">
        <f>I408+I407</f>
        <v>525.9</v>
      </c>
      <c r="N406" s="29"/>
      <c r="O406" s="29"/>
    </row>
    <row r="407" spans="1:15" s="29" customFormat="1" ht="25.5" x14ac:dyDescent="0.2">
      <c r="A407" s="31" t="s">
        <v>76</v>
      </c>
      <c r="B407" s="26">
        <v>915</v>
      </c>
      <c r="C407" s="27" t="s">
        <v>51</v>
      </c>
      <c r="D407" s="27" t="s">
        <v>16</v>
      </c>
      <c r="E407" s="27" t="s">
        <v>97</v>
      </c>
      <c r="F407" s="30" t="s">
        <v>68</v>
      </c>
      <c r="G407" s="28">
        <f>7+1.5</f>
        <v>8.5</v>
      </c>
      <c r="H407" s="28">
        <f>7+1.5</f>
        <v>8.5</v>
      </c>
      <c r="I407" s="28">
        <f>7+1.5</f>
        <v>8.5</v>
      </c>
      <c r="J407" s="21"/>
      <c r="K407" s="21"/>
      <c r="L407" s="21"/>
      <c r="M407" s="21"/>
      <c r="N407" s="21"/>
      <c r="O407" s="21"/>
    </row>
    <row r="408" spans="1:15" s="29" customFormat="1" x14ac:dyDescent="0.2">
      <c r="A408" s="31" t="s">
        <v>69</v>
      </c>
      <c r="B408" s="35">
        <v>915</v>
      </c>
      <c r="C408" s="27" t="s">
        <v>51</v>
      </c>
      <c r="D408" s="27" t="s">
        <v>16</v>
      </c>
      <c r="E408" s="27" t="s">
        <v>97</v>
      </c>
      <c r="F408" s="27" t="s">
        <v>70</v>
      </c>
      <c r="G408" s="28">
        <f>477.4+40</f>
        <v>517.4</v>
      </c>
      <c r="H408" s="28">
        <f>477.4+40</f>
        <v>517.4</v>
      </c>
      <c r="I408" s="28">
        <f>477.4+40</f>
        <v>517.4</v>
      </c>
      <c r="J408" s="21"/>
      <c r="K408" s="21"/>
      <c r="L408" s="21"/>
      <c r="M408" s="21"/>
    </row>
    <row r="409" spans="1:15" ht="25.5" x14ac:dyDescent="0.2">
      <c r="A409" s="18" t="s">
        <v>281</v>
      </c>
      <c r="B409" s="22">
        <v>915</v>
      </c>
      <c r="C409" s="19" t="s">
        <v>51</v>
      </c>
      <c r="D409" s="19" t="s">
        <v>16</v>
      </c>
      <c r="E409" s="19" t="s">
        <v>107</v>
      </c>
      <c r="F409" s="19"/>
      <c r="G409" s="20">
        <f>G411+G410</f>
        <v>87047</v>
      </c>
      <c r="H409" s="20">
        <f>H411+H410</f>
        <v>93047</v>
      </c>
      <c r="I409" s="20">
        <f>I411+I410</f>
        <v>93047</v>
      </c>
    </row>
    <row r="410" spans="1:15" s="29" customFormat="1" ht="25.5" x14ac:dyDescent="0.2">
      <c r="A410" s="31" t="s">
        <v>76</v>
      </c>
      <c r="B410" s="26">
        <v>915</v>
      </c>
      <c r="C410" s="27" t="s">
        <v>51</v>
      </c>
      <c r="D410" s="27" t="s">
        <v>16</v>
      </c>
      <c r="E410" s="27" t="s">
        <v>107</v>
      </c>
      <c r="F410" s="30" t="s">
        <v>68</v>
      </c>
      <c r="G410" s="28">
        <f>56+480</f>
        <v>536</v>
      </c>
      <c r="H410" s="28">
        <v>560</v>
      </c>
      <c r="I410" s="28">
        <v>560</v>
      </c>
      <c r="J410" s="21"/>
      <c r="K410" s="21"/>
      <c r="L410" s="21"/>
      <c r="M410" s="21"/>
    </row>
    <row r="411" spans="1:15" s="29" customFormat="1" x14ac:dyDescent="0.2">
      <c r="A411" s="31" t="s">
        <v>69</v>
      </c>
      <c r="B411" s="35">
        <v>915</v>
      </c>
      <c r="C411" s="27" t="s">
        <v>51</v>
      </c>
      <c r="D411" s="27" t="s">
        <v>16</v>
      </c>
      <c r="E411" s="27" t="s">
        <v>107</v>
      </c>
      <c r="F411" s="27" t="s">
        <v>70</v>
      </c>
      <c r="G411" s="28">
        <v>86511</v>
      </c>
      <c r="H411" s="28">
        <v>92487</v>
      </c>
      <c r="I411" s="28">
        <v>92487</v>
      </c>
      <c r="J411" s="21"/>
      <c r="K411" s="21"/>
      <c r="L411" s="21"/>
      <c r="M411" s="21"/>
      <c r="N411" s="21"/>
      <c r="O411" s="21"/>
    </row>
    <row r="412" spans="1:15" ht="127.5" x14ac:dyDescent="0.2">
      <c r="A412" s="18" t="s">
        <v>344</v>
      </c>
      <c r="B412" s="22">
        <v>915</v>
      </c>
      <c r="C412" s="19" t="s">
        <v>51</v>
      </c>
      <c r="D412" s="19" t="s">
        <v>16</v>
      </c>
      <c r="E412" s="19" t="s">
        <v>113</v>
      </c>
      <c r="F412" s="19"/>
      <c r="G412" s="20">
        <f>G413</f>
        <v>1.2</v>
      </c>
      <c r="H412" s="20">
        <f>H413</f>
        <v>1.2</v>
      </c>
      <c r="I412" s="20">
        <f>I413</f>
        <v>1.2</v>
      </c>
      <c r="J412" s="29"/>
      <c r="K412" s="29"/>
      <c r="L412" s="29"/>
      <c r="M412" s="29"/>
      <c r="N412" s="29"/>
      <c r="O412" s="29"/>
    </row>
    <row r="413" spans="1:15" s="29" customFormat="1" x14ac:dyDescent="0.2">
      <c r="A413" s="31" t="s">
        <v>69</v>
      </c>
      <c r="B413" s="35">
        <v>915</v>
      </c>
      <c r="C413" s="27" t="s">
        <v>51</v>
      </c>
      <c r="D413" s="27" t="s">
        <v>16</v>
      </c>
      <c r="E413" s="27" t="s">
        <v>113</v>
      </c>
      <c r="F413" s="27" t="s">
        <v>70</v>
      </c>
      <c r="G413" s="28">
        <v>1.2</v>
      </c>
      <c r="H413" s="28">
        <v>1.2</v>
      </c>
      <c r="I413" s="28">
        <v>1.2</v>
      </c>
    </row>
    <row r="414" spans="1:15" ht="51" customHeight="1" x14ac:dyDescent="0.2">
      <c r="A414" s="18" t="s">
        <v>283</v>
      </c>
      <c r="B414" s="22">
        <v>915</v>
      </c>
      <c r="C414" s="19" t="s">
        <v>51</v>
      </c>
      <c r="D414" s="19" t="s">
        <v>16</v>
      </c>
      <c r="E414" s="19" t="s">
        <v>110</v>
      </c>
      <c r="F414" s="19"/>
      <c r="G414" s="20">
        <f>G416+G415</f>
        <v>3136</v>
      </c>
      <c r="H414" s="20">
        <f>H416+H415</f>
        <v>3136</v>
      </c>
      <c r="I414" s="20">
        <f>I416+I415</f>
        <v>3136</v>
      </c>
      <c r="N414" s="29"/>
      <c r="O414" s="29"/>
    </row>
    <row r="415" spans="1:15" s="29" customFormat="1" ht="25.5" x14ac:dyDescent="0.2">
      <c r="A415" s="31" t="s">
        <v>76</v>
      </c>
      <c r="B415" s="26">
        <v>915</v>
      </c>
      <c r="C415" s="27" t="s">
        <v>51</v>
      </c>
      <c r="D415" s="27" t="s">
        <v>16</v>
      </c>
      <c r="E415" s="27" t="s">
        <v>110</v>
      </c>
      <c r="F415" s="30" t="s">
        <v>68</v>
      </c>
      <c r="G415" s="28">
        <v>2</v>
      </c>
      <c r="H415" s="28">
        <v>2</v>
      </c>
      <c r="I415" s="28">
        <v>2</v>
      </c>
      <c r="J415" s="21"/>
      <c r="K415" s="21"/>
      <c r="L415" s="21"/>
      <c r="M415" s="21"/>
      <c r="N415" s="21"/>
      <c r="O415" s="21"/>
    </row>
    <row r="416" spans="1:15" s="29" customFormat="1" x14ac:dyDescent="0.2">
      <c r="A416" s="31" t="s">
        <v>69</v>
      </c>
      <c r="B416" s="35">
        <v>915</v>
      </c>
      <c r="C416" s="27" t="s">
        <v>51</v>
      </c>
      <c r="D416" s="27" t="s">
        <v>16</v>
      </c>
      <c r="E416" s="27" t="s">
        <v>110</v>
      </c>
      <c r="F416" s="27" t="s">
        <v>70</v>
      </c>
      <c r="G416" s="28">
        <v>3134</v>
      </c>
      <c r="H416" s="28">
        <v>3134</v>
      </c>
      <c r="I416" s="28">
        <v>3134</v>
      </c>
    </row>
    <row r="417" spans="1:15" ht="51" x14ac:dyDescent="0.2">
      <c r="A417" s="18" t="s">
        <v>345</v>
      </c>
      <c r="B417" s="22">
        <v>915</v>
      </c>
      <c r="C417" s="19" t="s">
        <v>51</v>
      </c>
      <c r="D417" s="19" t="s">
        <v>16</v>
      </c>
      <c r="E417" s="19" t="s">
        <v>116</v>
      </c>
      <c r="F417" s="19"/>
      <c r="G417" s="20">
        <f>G419+G418</f>
        <v>21361</v>
      </c>
      <c r="H417" s="20">
        <f>H419+H418</f>
        <v>21361</v>
      </c>
      <c r="I417" s="20">
        <f>I419+I418</f>
        <v>21361</v>
      </c>
      <c r="J417" s="29"/>
      <c r="K417" s="29"/>
      <c r="L417" s="29"/>
      <c r="M417" s="29"/>
      <c r="N417" s="29"/>
      <c r="O417" s="29"/>
    </row>
    <row r="418" spans="1:15" s="29" customFormat="1" ht="25.5" x14ac:dyDescent="0.2">
      <c r="A418" s="31" t="s">
        <v>76</v>
      </c>
      <c r="B418" s="26">
        <v>915</v>
      </c>
      <c r="C418" s="27" t="s">
        <v>51</v>
      </c>
      <c r="D418" s="27" t="s">
        <v>16</v>
      </c>
      <c r="E418" s="27" t="s">
        <v>116</v>
      </c>
      <c r="F418" s="30" t="s">
        <v>68</v>
      </c>
      <c r="G418" s="28">
        <f>255+45</f>
        <v>300</v>
      </c>
      <c r="H418" s="28">
        <f t="shared" ref="H418:I418" si="49">255+45</f>
        <v>300</v>
      </c>
      <c r="I418" s="28">
        <f t="shared" si="49"/>
        <v>300</v>
      </c>
      <c r="J418" s="21"/>
      <c r="K418" s="21"/>
      <c r="L418" s="21"/>
      <c r="M418" s="21"/>
      <c r="N418" s="21"/>
      <c r="O418" s="21"/>
    </row>
    <row r="419" spans="1:15" s="29" customFormat="1" x14ac:dyDescent="0.2">
      <c r="A419" s="31" t="s">
        <v>69</v>
      </c>
      <c r="B419" s="35">
        <v>915</v>
      </c>
      <c r="C419" s="27" t="s">
        <v>51</v>
      </c>
      <c r="D419" s="27" t="s">
        <v>16</v>
      </c>
      <c r="E419" s="27" t="s">
        <v>116</v>
      </c>
      <c r="F419" s="27" t="s">
        <v>70</v>
      </c>
      <c r="G419" s="28">
        <v>21061</v>
      </c>
      <c r="H419" s="28">
        <v>21061</v>
      </c>
      <c r="I419" s="28">
        <v>21061</v>
      </c>
    </row>
    <row r="420" spans="1:15" ht="51" x14ac:dyDescent="0.2">
      <c r="A420" s="18" t="s">
        <v>284</v>
      </c>
      <c r="B420" s="22">
        <v>915</v>
      </c>
      <c r="C420" s="19" t="s">
        <v>51</v>
      </c>
      <c r="D420" s="19" t="s">
        <v>16</v>
      </c>
      <c r="E420" s="19" t="s">
        <v>111</v>
      </c>
      <c r="F420" s="19"/>
      <c r="G420" s="20">
        <f>G422+G421</f>
        <v>95</v>
      </c>
      <c r="H420" s="20">
        <f>H422+H421</f>
        <v>95</v>
      </c>
      <c r="I420" s="20">
        <f>I422+I421</f>
        <v>95</v>
      </c>
      <c r="N420" s="29"/>
      <c r="O420" s="29"/>
    </row>
    <row r="421" spans="1:15" s="29" customFormat="1" ht="25.5" x14ac:dyDescent="0.2">
      <c r="A421" s="31" t="s">
        <v>76</v>
      </c>
      <c r="B421" s="26">
        <v>915</v>
      </c>
      <c r="C421" s="27" t="s">
        <v>51</v>
      </c>
      <c r="D421" s="27" t="s">
        <v>16</v>
      </c>
      <c r="E421" s="27" t="s">
        <v>111</v>
      </c>
      <c r="F421" s="30" t="s">
        <v>68</v>
      </c>
      <c r="G421" s="28">
        <v>1.5</v>
      </c>
      <c r="H421" s="28">
        <v>1.5</v>
      </c>
      <c r="I421" s="28">
        <v>1.5</v>
      </c>
      <c r="J421" s="21"/>
      <c r="K421" s="21"/>
      <c r="L421" s="21"/>
      <c r="M421" s="21"/>
      <c r="N421" s="21"/>
      <c r="O421" s="21"/>
    </row>
    <row r="422" spans="1:15" s="29" customFormat="1" x14ac:dyDescent="0.2">
      <c r="A422" s="31" t="s">
        <v>69</v>
      </c>
      <c r="B422" s="35">
        <v>915</v>
      </c>
      <c r="C422" s="27" t="s">
        <v>51</v>
      </c>
      <c r="D422" s="27" t="s">
        <v>16</v>
      </c>
      <c r="E422" s="27" t="s">
        <v>111</v>
      </c>
      <c r="F422" s="27" t="s">
        <v>70</v>
      </c>
      <c r="G422" s="28">
        <v>93.5</v>
      </c>
      <c r="H422" s="28">
        <v>93.5</v>
      </c>
      <c r="I422" s="28">
        <v>93.5</v>
      </c>
    </row>
    <row r="423" spans="1:15" ht="76.5" x14ac:dyDescent="0.2">
      <c r="A423" s="18" t="s">
        <v>352</v>
      </c>
      <c r="B423" s="22">
        <v>915</v>
      </c>
      <c r="C423" s="19" t="s">
        <v>51</v>
      </c>
      <c r="D423" s="19" t="s">
        <v>16</v>
      </c>
      <c r="E423" s="19" t="s">
        <v>114</v>
      </c>
      <c r="F423" s="19"/>
      <c r="G423" s="20">
        <f>G425+G424</f>
        <v>1153</v>
      </c>
      <c r="H423" s="20">
        <f>H425+H424</f>
        <v>1153</v>
      </c>
      <c r="I423" s="20">
        <f>I425+I424</f>
        <v>1153</v>
      </c>
      <c r="N423" s="29"/>
      <c r="O423" s="29"/>
    </row>
    <row r="424" spans="1:15" s="29" customFormat="1" ht="25.5" x14ac:dyDescent="0.2">
      <c r="A424" s="31" t="s">
        <v>76</v>
      </c>
      <c r="B424" s="26">
        <v>915</v>
      </c>
      <c r="C424" s="27" t="s">
        <v>51</v>
      </c>
      <c r="D424" s="27" t="s">
        <v>16</v>
      </c>
      <c r="E424" s="27" t="s">
        <v>114</v>
      </c>
      <c r="F424" s="30" t="s">
        <v>68</v>
      </c>
      <c r="G424" s="28">
        <f>5.5+1</f>
        <v>6.5</v>
      </c>
      <c r="H424" s="28">
        <f>5.5+1</f>
        <v>6.5</v>
      </c>
      <c r="I424" s="28">
        <f>5.5+1</f>
        <v>6.5</v>
      </c>
      <c r="J424" s="21"/>
      <c r="K424" s="21"/>
      <c r="L424" s="21"/>
      <c r="M424" s="21"/>
      <c r="N424" s="21"/>
      <c r="O424" s="21"/>
    </row>
    <row r="425" spans="1:15" s="29" customFormat="1" x14ac:dyDescent="0.2">
      <c r="A425" s="31" t="s">
        <v>69</v>
      </c>
      <c r="B425" s="35">
        <v>915</v>
      </c>
      <c r="C425" s="27" t="s">
        <v>51</v>
      </c>
      <c r="D425" s="27" t="s">
        <v>16</v>
      </c>
      <c r="E425" s="27" t="s">
        <v>114</v>
      </c>
      <c r="F425" s="27" t="s">
        <v>70</v>
      </c>
      <c r="G425" s="28">
        <f>930.5+216</f>
        <v>1146.5</v>
      </c>
      <c r="H425" s="28">
        <f>930.5+216</f>
        <v>1146.5</v>
      </c>
      <c r="I425" s="28">
        <f>930.5+216</f>
        <v>1146.5</v>
      </c>
    </row>
    <row r="426" spans="1:15" ht="51" x14ac:dyDescent="0.2">
      <c r="A426" s="18" t="s">
        <v>285</v>
      </c>
      <c r="B426" s="22">
        <v>915</v>
      </c>
      <c r="C426" s="19" t="s">
        <v>51</v>
      </c>
      <c r="D426" s="19" t="s">
        <v>16</v>
      </c>
      <c r="E426" s="19" t="s">
        <v>115</v>
      </c>
      <c r="F426" s="19"/>
      <c r="G426" s="20">
        <f>G428+G427</f>
        <v>318</v>
      </c>
      <c r="H426" s="20">
        <f>H428+H427</f>
        <v>318</v>
      </c>
      <c r="I426" s="20">
        <f>I428+I427</f>
        <v>318</v>
      </c>
      <c r="N426" s="29"/>
      <c r="O426" s="29"/>
    </row>
    <row r="427" spans="1:15" s="29" customFormat="1" ht="25.5" x14ac:dyDescent="0.2">
      <c r="A427" s="31" t="s">
        <v>76</v>
      </c>
      <c r="B427" s="26">
        <v>915</v>
      </c>
      <c r="C427" s="27" t="s">
        <v>51</v>
      </c>
      <c r="D427" s="27" t="s">
        <v>16</v>
      </c>
      <c r="E427" s="27" t="s">
        <v>115</v>
      </c>
      <c r="F427" s="30" t="s">
        <v>68</v>
      </c>
      <c r="G427" s="28">
        <v>6.4</v>
      </c>
      <c r="H427" s="28">
        <v>6.4</v>
      </c>
      <c r="I427" s="28">
        <v>6.4</v>
      </c>
      <c r="J427" s="21"/>
      <c r="K427" s="21"/>
      <c r="L427" s="21"/>
      <c r="M427" s="21"/>
      <c r="N427" s="21"/>
      <c r="O427" s="21"/>
    </row>
    <row r="428" spans="1:15" s="29" customFormat="1" x14ac:dyDescent="0.2">
      <c r="A428" s="31" t="s">
        <v>69</v>
      </c>
      <c r="B428" s="35">
        <v>915</v>
      </c>
      <c r="C428" s="27" t="s">
        <v>51</v>
      </c>
      <c r="D428" s="27" t="s">
        <v>16</v>
      </c>
      <c r="E428" s="27" t="s">
        <v>115</v>
      </c>
      <c r="F428" s="27" t="s">
        <v>70</v>
      </c>
      <c r="G428" s="28">
        <v>311.60000000000002</v>
      </c>
      <c r="H428" s="28">
        <v>311.60000000000002</v>
      </c>
      <c r="I428" s="28">
        <v>311.60000000000002</v>
      </c>
    </row>
    <row r="429" spans="1:15" ht="89.25" customHeight="1" x14ac:dyDescent="0.2">
      <c r="A429" s="18" t="s">
        <v>347</v>
      </c>
      <c r="B429" s="22">
        <v>915</v>
      </c>
      <c r="C429" s="19" t="s">
        <v>51</v>
      </c>
      <c r="D429" s="19" t="s">
        <v>16</v>
      </c>
      <c r="E429" s="19" t="s">
        <v>117</v>
      </c>
      <c r="F429" s="19"/>
      <c r="G429" s="20">
        <f>G431+G430</f>
        <v>92351</v>
      </c>
      <c r="H429" s="20">
        <f>H431+H430</f>
        <v>92351</v>
      </c>
      <c r="I429" s="20">
        <f>I431+I430</f>
        <v>92351</v>
      </c>
      <c r="N429" s="29"/>
      <c r="O429" s="29"/>
    </row>
    <row r="430" spans="1:15" s="29" customFormat="1" ht="25.5" x14ac:dyDescent="0.2">
      <c r="A430" s="31" t="s">
        <v>76</v>
      </c>
      <c r="B430" s="26">
        <v>915</v>
      </c>
      <c r="C430" s="27" t="s">
        <v>51</v>
      </c>
      <c r="D430" s="27" t="s">
        <v>16</v>
      </c>
      <c r="E430" s="27" t="s">
        <v>117</v>
      </c>
      <c r="F430" s="30" t="s">
        <v>68</v>
      </c>
      <c r="G430" s="28">
        <f>317+175+110+34+55+23+127+50+1+1.2</f>
        <v>893.2</v>
      </c>
      <c r="H430" s="28">
        <f>317+175+110+34+55+23+127+50+1+1.2</f>
        <v>893.2</v>
      </c>
      <c r="I430" s="28">
        <f>317+175+110+34+55+23+127+50+1+1.2</f>
        <v>893.2</v>
      </c>
      <c r="J430" s="9"/>
      <c r="K430" s="9"/>
      <c r="L430" s="9"/>
      <c r="M430" s="9"/>
      <c r="N430" s="9"/>
      <c r="O430" s="9"/>
    </row>
    <row r="431" spans="1:15" s="29" customFormat="1" x14ac:dyDescent="0.2">
      <c r="A431" s="31" t="s">
        <v>69</v>
      </c>
      <c r="B431" s="35">
        <v>915</v>
      </c>
      <c r="C431" s="27" t="s">
        <v>51</v>
      </c>
      <c r="D431" s="27" t="s">
        <v>16</v>
      </c>
      <c r="E431" s="27" t="s">
        <v>117</v>
      </c>
      <c r="F431" s="27" t="s">
        <v>70</v>
      </c>
      <c r="G431" s="28">
        <f>54147+12800+7500+16800.8+210</f>
        <v>91457.8</v>
      </c>
      <c r="H431" s="28">
        <f>54147+12800+7500+16800.8+210</f>
        <v>91457.8</v>
      </c>
      <c r="I431" s="28">
        <f>54147+12800+7500+16800.8+210</f>
        <v>91457.8</v>
      </c>
      <c r="J431" s="21"/>
      <c r="K431" s="21"/>
      <c r="L431" s="21"/>
      <c r="M431" s="21"/>
      <c r="N431" s="21"/>
      <c r="O431" s="21"/>
    </row>
    <row r="432" spans="1:15" ht="63.75" x14ac:dyDescent="0.2">
      <c r="A432" s="18" t="s">
        <v>286</v>
      </c>
      <c r="B432" s="22">
        <v>915</v>
      </c>
      <c r="C432" s="19" t="s">
        <v>51</v>
      </c>
      <c r="D432" s="19" t="s">
        <v>16</v>
      </c>
      <c r="E432" s="19" t="s">
        <v>92</v>
      </c>
      <c r="F432" s="19"/>
      <c r="G432" s="20">
        <f>G434+G433</f>
        <v>977</v>
      </c>
      <c r="H432" s="20">
        <f>H434+H433</f>
        <v>977</v>
      </c>
      <c r="I432" s="20">
        <f>I434+I433</f>
        <v>977</v>
      </c>
      <c r="N432" s="29"/>
      <c r="O432" s="29"/>
    </row>
    <row r="433" spans="1:15" s="29" customFormat="1" ht="25.5" x14ac:dyDescent="0.2">
      <c r="A433" s="31" t="s">
        <v>76</v>
      </c>
      <c r="B433" s="26">
        <v>915</v>
      </c>
      <c r="C433" s="27" t="s">
        <v>51</v>
      </c>
      <c r="D433" s="27" t="s">
        <v>16</v>
      </c>
      <c r="E433" s="27" t="s">
        <v>92</v>
      </c>
      <c r="F433" s="30" t="s">
        <v>68</v>
      </c>
      <c r="G433" s="28">
        <v>19</v>
      </c>
      <c r="H433" s="28">
        <v>19</v>
      </c>
      <c r="I433" s="28">
        <v>19</v>
      </c>
      <c r="J433" s="21"/>
      <c r="K433" s="21"/>
      <c r="L433" s="21"/>
      <c r="M433" s="21"/>
      <c r="N433" s="21"/>
      <c r="O433" s="21"/>
    </row>
    <row r="434" spans="1:15" s="29" customFormat="1" x14ac:dyDescent="0.2">
      <c r="A434" s="31" t="s">
        <v>69</v>
      </c>
      <c r="B434" s="35">
        <v>915</v>
      </c>
      <c r="C434" s="27" t="s">
        <v>51</v>
      </c>
      <c r="D434" s="27" t="s">
        <v>16</v>
      </c>
      <c r="E434" s="27" t="s">
        <v>92</v>
      </c>
      <c r="F434" s="27" t="s">
        <v>70</v>
      </c>
      <c r="G434" s="28">
        <v>958</v>
      </c>
      <c r="H434" s="28">
        <v>958</v>
      </c>
      <c r="I434" s="28">
        <v>958</v>
      </c>
    </row>
    <row r="435" spans="1:15" s="9" customFormat="1" x14ac:dyDescent="0.2">
      <c r="A435" s="11" t="s">
        <v>56</v>
      </c>
      <c r="B435" s="14">
        <v>915</v>
      </c>
      <c r="C435" s="8" t="s">
        <v>51</v>
      </c>
      <c r="D435" s="8" t="s">
        <v>18</v>
      </c>
      <c r="E435" s="8"/>
      <c r="F435" s="8"/>
      <c r="G435" s="4">
        <f>G436+G441+G445+G438+G443</f>
        <v>131799</v>
      </c>
      <c r="H435" s="4">
        <f>H436+H441+H445+H438+H443</f>
        <v>117819</v>
      </c>
      <c r="I435" s="4">
        <f>I436+I441+I445+I438+I443</f>
        <v>122587</v>
      </c>
      <c r="J435" s="21"/>
      <c r="K435" s="21"/>
      <c r="L435" s="21"/>
      <c r="M435" s="21"/>
      <c r="N435" s="21"/>
      <c r="O435" s="21"/>
    </row>
    <row r="436" spans="1:15" ht="89.25" x14ac:dyDescent="0.2">
      <c r="A436" s="18" t="s">
        <v>287</v>
      </c>
      <c r="B436" s="22">
        <v>915</v>
      </c>
      <c r="C436" s="19" t="s">
        <v>51</v>
      </c>
      <c r="D436" s="19" t="s">
        <v>18</v>
      </c>
      <c r="E436" s="19" t="s">
        <v>102</v>
      </c>
      <c r="F436" s="19"/>
      <c r="G436" s="20">
        <f>G437</f>
        <v>1482</v>
      </c>
      <c r="H436" s="20">
        <f>H437</f>
        <v>1534</v>
      </c>
      <c r="I436" s="20">
        <f>I437</f>
        <v>1595</v>
      </c>
      <c r="J436" s="9"/>
      <c r="K436" s="9"/>
      <c r="L436" s="9"/>
      <c r="M436" s="9"/>
      <c r="N436" s="9"/>
      <c r="O436" s="9"/>
    </row>
    <row r="437" spans="1:15" s="29" customFormat="1" x14ac:dyDescent="0.2">
      <c r="A437" s="31" t="s">
        <v>69</v>
      </c>
      <c r="B437" s="35">
        <v>915</v>
      </c>
      <c r="C437" s="27" t="s">
        <v>51</v>
      </c>
      <c r="D437" s="27" t="s">
        <v>18</v>
      </c>
      <c r="E437" s="27" t="s">
        <v>102</v>
      </c>
      <c r="F437" s="27" t="s">
        <v>70</v>
      </c>
      <c r="G437" s="28">
        <v>1482</v>
      </c>
      <c r="H437" s="28">
        <v>1534</v>
      </c>
      <c r="I437" s="28">
        <v>1595</v>
      </c>
      <c r="J437" s="21"/>
      <c r="K437" s="21"/>
      <c r="L437" s="21"/>
      <c r="M437" s="21"/>
      <c r="N437" s="21"/>
      <c r="O437" s="21"/>
    </row>
    <row r="438" spans="1:15" ht="102" x14ac:dyDescent="0.2">
      <c r="A438" s="18" t="s">
        <v>288</v>
      </c>
      <c r="B438" s="22">
        <v>915</v>
      </c>
      <c r="C438" s="19" t="s">
        <v>51</v>
      </c>
      <c r="D438" s="19" t="s">
        <v>18</v>
      </c>
      <c r="E438" s="19" t="s">
        <v>106</v>
      </c>
      <c r="F438" s="19"/>
      <c r="G438" s="20">
        <f>G440+G439</f>
        <v>55542</v>
      </c>
      <c r="H438" s="20">
        <f>H440+H439</f>
        <v>57742</v>
      </c>
      <c r="I438" s="20">
        <f>I440+I439</f>
        <v>60051</v>
      </c>
      <c r="N438" s="29"/>
      <c r="O438" s="29"/>
    </row>
    <row r="439" spans="1:15" s="29" customFormat="1" ht="25.5" x14ac:dyDescent="0.2">
      <c r="A439" s="31" t="s">
        <v>76</v>
      </c>
      <c r="B439" s="26">
        <v>915</v>
      </c>
      <c r="C439" s="27" t="s">
        <v>51</v>
      </c>
      <c r="D439" s="27" t="s">
        <v>18</v>
      </c>
      <c r="E439" s="19" t="s">
        <v>106</v>
      </c>
      <c r="F439" s="30" t="s">
        <v>68</v>
      </c>
      <c r="G439" s="28">
        <v>1</v>
      </c>
      <c r="H439" s="28">
        <v>1</v>
      </c>
      <c r="I439" s="28">
        <v>1</v>
      </c>
      <c r="J439" s="21"/>
      <c r="K439" s="21"/>
      <c r="L439" s="21"/>
      <c r="M439" s="21"/>
      <c r="N439" s="21"/>
      <c r="O439" s="21"/>
    </row>
    <row r="440" spans="1:15" s="29" customFormat="1" x14ac:dyDescent="0.2">
      <c r="A440" s="31" t="s">
        <v>69</v>
      </c>
      <c r="B440" s="35">
        <v>915</v>
      </c>
      <c r="C440" s="27" t="s">
        <v>51</v>
      </c>
      <c r="D440" s="27" t="s">
        <v>18</v>
      </c>
      <c r="E440" s="19" t="s">
        <v>106</v>
      </c>
      <c r="F440" s="27" t="s">
        <v>70</v>
      </c>
      <c r="G440" s="28">
        <f>55852-311</f>
        <v>55541</v>
      </c>
      <c r="H440" s="28">
        <f>58077-336</f>
        <v>57741</v>
      </c>
      <c r="I440" s="28">
        <f>60400-350</f>
        <v>60050</v>
      </c>
    </row>
    <row r="441" spans="1:15" ht="38.25" x14ac:dyDescent="0.2">
      <c r="A441" s="77" t="s">
        <v>348</v>
      </c>
      <c r="B441" s="56">
        <v>915</v>
      </c>
      <c r="C441" s="19" t="s">
        <v>51</v>
      </c>
      <c r="D441" s="19" t="s">
        <v>18</v>
      </c>
      <c r="E441" s="19" t="s">
        <v>135</v>
      </c>
      <c r="F441" s="19"/>
      <c r="G441" s="20">
        <f>G442</f>
        <v>46184</v>
      </c>
      <c r="H441" s="20">
        <f t="shared" ref="H441:I441" si="50">H442</f>
        <v>30183</v>
      </c>
      <c r="I441" s="20">
        <f t="shared" si="50"/>
        <v>32581</v>
      </c>
    </row>
    <row r="442" spans="1:15" x14ac:dyDescent="0.2">
      <c r="A442" s="31" t="s">
        <v>69</v>
      </c>
      <c r="B442" s="22">
        <v>915</v>
      </c>
      <c r="C442" s="27" t="s">
        <v>51</v>
      </c>
      <c r="D442" s="27" t="s">
        <v>18</v>
      </c>
      <c r="E442" s="27" t="s">
        <v>135</v>
      </c>
      <c r="F442" s="27" t="s">
        <v>70</v>
      </c>
      <c r="G442" s="28">
        <f>29411+16626+147</f>
        <v>46184</v>
      </c>
      <c r="H442" s="28">
        <f>30033+150</f>
        <v>30183</v>
      </c>
      <c r="I442" s="28">
        <f>32419+162</f>
        <v>32581</v>
      </c>
    </row>
    <row r="443" spans="1:15" ht="38.25" x14ac:dyDescent="0.2">
      <c r="A443" s="77" t="s">
        <v>348</v>
      </c>
      <c r="B443" s="56">
        <v>915</v>
      </c>
      <c r="C443" s="19" t="s">
        <v>51</v>
      </c>
      <c r="D443" s="19" t="s">
        <v>18</v>
      </c>
      <c r="E443" s="19" t="s">
        <v>394</v>
      </c>
      <c r="F443" s="19"/>
      <c r="G443" s="20">
        <f>G444</f>
        <v>231</v>
      </c>
      <c r="H443" s="20">
        <f t="shared" ref="H443:I443" si="51">H444</f>
        <v>0</v>
      </c>
      <c r="I443" s="20">
        <f t="shared" si="51"/>
        <v>0</v>
      </c>
    </row>
    <row r="444" spans="1:15" s="29" customFormat="1" ht="25.5" x14ac:dyDescent="0.2">
      <c r="A444" s="31" t="s">
        <v>76</v>
      </c>
      <c r="B444" s="26">
        <v>915</v>
      </c>
      <c r="C444" s="27" t="s">
        <v>51</v>
      </c>
      <c r="D444" s="27" t="s">
        <v>18</v>
      </c>
      <c r="E444" s="27" t="s">
        <v>394</v>
      </c>
      <c r="F444" s="30" t="s">
        <v>68</v>
      </c>
      <c r="G444" s="28">
        <v>231</v>
      </c>
      <c r="H444" s="28">
        <v>0</v>
      </c>
      <c r="I444" s="28">
        <v>0</v>
      </c>
      <c r="J444" s="21"/>
      <c r="K444" s="21"/>
      <c r="L444" s="21"/>
      <c r="M444" s="21"/>
      <c r="N444" s="21"/>
    </row>
    <row r="445" spans="1:15" ht="39" customHeight="1" x14ac:dyDescent="0.2">
      <c r="A445" s="18" t="s">
        <v>346</v>
      </c>
      <c r="B445" s="22">
        <v>915</v>
      </c>
      <c r="C445" s="19" t="s">
        <v>51</v>
      </c>
      <c r="D445" s="19" t="s">
        <v>18</v>
      </c>
      <c r="E445" s="19" t="s">
        <v>108</v>
      </c>
      <c r="F445" s="19"/>
      <c r="G445" s="20">
        <f>G447+G446</f>
        <v>28360</v>
      </c>
      <c r="H445" s="20">
        <f>H447+H446</f>
        <v>28360</v>
      </c>
      <c r="I445" s="20">
        <f>I447+I446</f>
        <v>28360</v>
      </c>
      <c r="N445" s="29"/>
      <c r="O445" s="29"/>
    </row>
    <row r="446" spans="1:15" s="29" customFormat="1" ht="25.5" x14ac:dyDescent="0.2">
      <c r="A446" s="31" t="s">
        <v>76</v>
      </c>
      <c r="B446" s="26">
        <v>915</v>
      </c>
      <c r="C446" s="27" t="s">
        <v>51</v>
      </c>
      <c r="D446" s="27" t="s">
        <v>18</v>
      </c>
      <c r="E446" s="27" t="s">
        <v>108</v>
      </c>
      <c r="F446" s="30" t="s">
        <v>68</v>
      </c>
      <c r="G446" s="28">
        <v>1</v>
      </c>
      <c r="H446" s="28">
        <v>1</v>
      </c>
      <c r="I446" s="28">
        <v>1</v>
      </c>
      <c r="J446" s="78"/>
      <c r="K446" s="78"/>
      <c r="L446" s="78"/>
      <c r="M446" s="21"/>
      <c r="N446" s="21"/>
      <c r="O446" s="21"/>
    </row>
    <row r="447" spans="1:15" s="29" customFormat="1" x14ac:dyDescent="0.2">
      <c r="A447" s="31" t="s">
        <v>69</v>
      </c>
      <c r="B447" s="35">
        <v>915</v>
      </c>
      <c r="C447" s="27" t="s">
        <v>51</v>
      </c>
      <c r="D447" s="27" t="s">
        <v>18</v>
      </c>
      <c r="E447" s="27" t="s">
        <v>108</v>
      </c>
      <c r="F447" s="27" t="s">
        <v>70</v>
      </c>
      <c r="G447" s="28">
        <v>28359</v>
      </c>
      <c r="H447" s="28">
        <v>28359</v>
      </c>
      <c r="I447" s="28">
        <v>28359</v>
      </c>
      <c r="J447" s="78"/>
      <c r="K447" s="78"/>
      <c r="L447" s="78"/>
    </row>
    <row r="448" spans="1:15" s="9" customFormat="1" x14ac:dyDescent="0.2">
      <c r="A448" s="11" t="s">
        <v>57</v>
      </c>
      <c r="B448" s="14">
        <v>915</v>
      </c>
      <c r="C448" s="8" t="s">
        <v>51</v>
      </c>
      <c r="D448" s="8" t="s">
        <v>50</v>
      </c>
      <c r="E448" s="8"/>
      <c r="F448" s="8"/>
      <c r="G448" s="4">
        <f>G449+G452+G456+G454+G460</f>
        <v>22618.400000000001</v>
      </c>
      <c r="H448" s="4">
        <f>H449+H452+H456+H454+H460</f>
        <v>22618.400000000001</v>
      </c>
      <c r="I448" s="4">
        <f>I449+I452+I456+I454+I460</f>
        <v>22618.400000000001</v>
      </c>
      <c r="J448" s="21"/>
      <c r="K448" s="21"/>
      <c r="L448" s="21"/>
      <c r="M448" s="21"/>
      <c r="N448" s="29"/>
      <c r="O448" s="29"/>
    </row>
    <row r="449" spans="1:15" x14ac:dyDescent="0.2">
      <c r="A449" s="18" t="s">
        <v>289</v>
      </c>
      <c r="B449" s="22">
        <v>915</v>
      </c>
      <c r="C449" s="19" t="s">
        <v>51</v>
      </c>
      <c r="D449" s="19" t="s">
        <v>50</v>
      </c>
      <c r="E449" s="19" t="s">
        <v>290</v>
      </c>
      <c r="F449" s="19"/>
      <c r="G449" s="20">
        <f>G450+G451</f>
        <v>1338.4</v>
      </c>
      <c r="H449" s="20">
        <f>H450+H451</f>
        <v>1338.4</v>
      </c>
      <c r="I449" s="20">
        <f>I450+I451</f>
        <v>1338.4</v>
      </c>
    </row>
    <row r="450" spans="1:15" s="29" customFormat="1" ht="25.5" x14ac:dyDescent="0.2">
      <c r="A450" s="31" t="s">
        <v>76</v>
      </c>
      <c r="B450" s="35">
        <v>915</v>
      </c>
      <c r="C450" s="27" t="s">
        <v>51</v>
      </c>
      <c r="D450" s="27" t="s">
        <v>50</v>
      </c>
      <c r="E450" s="27" t="s">
        <v>290</v>
      </c>
      <c r="F450" s="27" t="s">
        <v>68</v>
      </c>
      <c r="G450" s="28">
        <f>2.2+80+325.2+450+20</f>
        <v>877.4</v>
      </c>
      <c r="H450" s="28">
        <f>2.2+80+325.2+450+20</f>
        <v>877.4</v>
      </c>
      <c r="I450" s="28">
        <f>2.2+80+325.2+450+20</f>
        <v>877.4</v>
      </c>
      <c r="M450" s="21"/>
    </row>
    <row r="451" spans="1:15" x14ac:dyDescent="0.2">
      <c r="A451" s="31" t="s">
        <v>69</v>
      </c>
      <c r="B451" s="26">
        <v>915</v>
      </c>
      <c r="C451" s="27" t="s">
        <v>51</v>
      </c>
      <c r="D451" s="27" t="s">
        <v>50</v>
      </c>
      <c r="E451" s="27" t="s">
        <v>290</v>
      </c>
      <c r="F451" s="30" t="s">
        <v>70</v>
      </c>
      <c r="G451" s="28">
        <f>429+32</f>
        <v>461</v>
      </c>
      <c r="H451" s="28">
        <f>429+32</f>
        <v>461</v>
      </c>
      <c r="I451" s="28">
        <f>429+32</f>
        <v>461</v>
      </c>
      <c r="N451" s="29"/>
      <c r="O451" s="29"/>
    </row>
    <row r="452" spans="1:15" x14ac:dyDescent="0.2">
      <c r="A452" s="18" t="s">
        <v>291</v>
      </c>
      <c r="B452" s="22">
        <v>915</v>
      </c>
      <c r="C452" s="19" t="s">
        <v>51</v>
      </c>
      <c r="D452" s="19" t="s">
        <v>50</v>
      </c>
      <c r="E452" s="19" t="s">
        <v>292</v>
      </c>
      <c r="F452" s="19"/>
      <c r="G452" s="20">
        <f>G453</f>
        <v>818</v>
      </c>
      <c r="H452" s="20">
        <f>H453</f>
        <v>818</v>
      </c>
      <c r="I452" s="20">
        <f>I453</f>
        <v>818</v>
      </c>
      <c r="N452" s="29"/>
      <c r="O452" s="29"/>
    </row>
    <row r="453" spans="1:15" s="29" customFormat="1" ht="25.5" x14ac:dyDescent="0.2">
      <c r="A453" s="31" t="s">
        <v>144</v>
      </c>
      <c r="B453" s="35">
        <v>915</v>
      </c>
      <c r="C453" s="27" t="s">
        <v>51</v>
      </c>
      <c r="D453" s="27" t="s">
        <v>50</v>
      </c>
      <c r="E453" s="27" t="s">
        <v>292</v>
      </c>
      <c r="F453" s="27" t="s">
        <v>65</v>
      </c>
      <c r="G453" s="28">
        <v>818</v>
      </c>
      <c r="H453" s="28">
        <v>818</v>
      </c>
      <c r="I453" s="28">
        <v>818</v>
      </c>
      <c r="J453" s="9"/>
      <c r="K453" s="9"/>
      <c r="L453" s="9"/>
      <c r="M453" s="9"/>
      <c r="N453" s="9"/>
      <c r="O453" s="9"/>
    </row>
    <row r="454" spans="1:15" x14ac:dyDescent="0.2">
      <c r="A454" s="18" t="s">
        <v>332</v>
      </c>
      <c r="B454" s="22">
        <v>915</v>
      </c>
      <c r="C454" s="19" t="s">
        <v>51</v>
      </c>
      <c r="D454" s="19" t="s">
        <v>50</v>
      </c>
      <c r="E454" s="19" t="s">
        <v>333</v>
      </c>
      <c r="F454" s="19"/>
      <c r="G454" s="20">
        <f>G455</f>
        <v>450</v>
      </c>
      <c r="H454" s="20">
        <f>H455</f>
        <v>450</v>
      </c>
      <c r="I454" s="20">
        <f>I455</f>
        <v>450</v>
      </c>
    </row>
    <row r="455" spans="1:15" s="29" customFormat="1" ht="25.5" x14ac:dyDescent="0.2">
      <c r="A455" s="31" t="s">
        <v>76</v>
      </c>
      <c r="B455" s="35">
        <v>915</v>
      </c>
      <c r="C455" s="27" t="s">
        <v>51</v>
      </c>
      <c r="D455" s="27" t="s">
        <v>50</v>
      </c>
      <c r="E455" s="27" t="s">
        <v>333</v>
      </c>
      <c r="F455" s="27" t="s">
        <v>68</v>
      </c>
      <c r="G455" s="28">
        <v>450</v>
      </c>
      <c r="H455" s="28">
        <v>450</v>
      </c>
      <c r="I455" s="28">
        <v>450</v>
      </c>
      <c r="M455" s="21"/>
    </row>
    <row r="456" spans="1:15" ht="38.25" x14ac:dyDescent="0.2">
      <c r="A456" s="18" t="s">
        <v>293</v>
      </c>
      <c r="B456" s="22">
        <v>915</v>
      </c>
      <c r="C456" s="19" t="s">
        <v>51</v>
      </c>
      <c r="D456" s="19" t="s">
        <v>50</v>
      </c>
      <c r="E456" s="19" t="s">
        <v>100</v>
      </c>
      <c r="F456" s="19"/>
      <c r="G456" s="20">
        <f>G457+G458+G459</f>
        <v>19783</v>
      </c>
      <c r="H456" s="20">
        <f>H457+H458+H459</f>
        <v>19783</v>
      </c>
      <c r="I456" s="20">
        <f>I457+I458+I459</f>
        <v>19783</v>
      </c>
      <c r="J456" s="3"/>
      <c r="K456" s="3"/>
      <c r="L456" s="3"/>
      <c r="M456" s="3"/>
      <c r="N456" s="3"/>
      <c r="O456" s="3"/>
    </row>
    <row r="457" spans="1:15" s="29" customFormat="1" ht="51.75" customHeight="1" x14ac:dyDescent="0.2">
      <c r="A457" s="26" t="s">
        <v>66</v>
      </c>
      <c r="B457" s="35">
        <v>915</v>
      </c>
      <c r="C457" s="27" t="s">
        <v>51</v>
      </c>
      <c r="D457" s="27" t="s">
        <v>50</v>
      </c>
      <c r="E457" s="27" t="s">
        <v>100</v>
      </c>
      <c r="F457" s="30" t="s">
        <v>67</v>
      </c>
      <c r="G457" s="28">
        <f>18510.7+178</f>
        <v>18688.7</v>
      </c>
      <c r="H457" s="28">
        <f>18510.7+178</f>
        <v>18688.7</v>
      </c>
      <c r="I457" s="28">
        <f>18510.7+178</f>
        <v>18688.7</v>
      </c>
      <c r="J457" s="9"/>
      <c r="K457" s="9"/>
      <c r="L457" s="9"/>
      <c r="M457" s="9"/>
      <c r="N457" s="9"/>
      <c r="O457" s="9"/>
    </row>
    <row r="458" spans="1:15" s="29" customFormat="1" ht="25.5" x14ac:dyDescent="0.2">
      <c r="A458" s="31" t="s">
        <v>76</v>
      </c>
      <c r="B458" s="35">
        <v>915</v>
      </c>
      <c r="C458" s="27" t="s">
        <v>51</v>
      </c>
      <c r="D458" s="27" t="s">
        <v>50</v>
      </c>
      <c r="E458" s="27" t="s">
        <v>100</v>
      </c>
      <c r="F458" s="30" t="s">
        <v>68</v>
      </c>
      <c r="G458" s="28">
        <v>1090.3</v>
      </c>
      <c r="H458" s="28">
        <v>1090.3</v>
      </c>
      <c r="I458" s="28">
        <v>1090.3</v>
      </c>
      <c r="J458" s="7"/>
      <c r="K458" s="7"/>
      <c r="L458" s="7"/>
      <c r="M458" s="7"/>
      <c r="N458" s="7"/>
      <c r="O458" s="7"/>
    </row>
    <row r="459" spans="1:15" s="29" customFormat="1" x14ac:dyDescent="0.2">
      <c r="A459" s="31" t="s">
        <v>72</v>
      </c>
      <c r="B459" s="35">
        <v>915</v>
      </c>
      <c r="C459" s="27" t="s">
        <v>51</v>
      </c>
      <c r="D459" s="27" t="s">
        <v>50</v>
      </c>
      <c r="E459" s="27" t="s">
        <v>100</v>
      </c>
      <c r="F459" s="27" t="s">
        <v>73</v>
      </c>
      <c r="G459" s="28">
        <v>4</v>
      </c>
      <c r="H459" s="28">
        <v>4</v>
      </c>
      <c r="I459" s="28">
        <v>4</v>
      </c>
      <c r="J459" s="21"/>
      <c r="K459" s="21"/>
      <c r="L459" s="21"/>
      <c r="M459" s="21"/>
    </row>
    <row r="460" spans="1:15" x14ac:dyDescent="0.2">
      <c r="A460" s="18" t="s">
        <v>182</v>
      </c>
      <c r="B460" s="18">
        <v>915</v>
      </c>
      <c r="C460" s="19" t="s">
        <v>51</v>
      </c>
      <c r="D460" s="19" t="s">
        <v>50</v>
      </c>
      <c r="E460" s="16" t="s">
        <v>183</v>
      </c>
      <c r="F460" s="19"/>
      <c r="G460" s="4">
        <f>G461+G462</f>
        <v>229</v>
      </c>
      <c r="H460" s="4">
        <f>H461+H462</f>
        <v>229</v>
      </c>
      <c r="I460" s="4">
        <f>I461+I462</f>
        <v>229</v>
      </c>
    </row>
    <row r="461" spans="1:15" ht="25.5" x14ac:dyDescent="0.2">
      <c r="A461" s="31" t="s">
        <v>76</v>
      </c>
      <c r="B461" s="18">
        <v>915</v>
      </c>
      <c r="C461" s="27" t="s">
        <v>51</v>
      </c>
      <c r="D461" s="27" t="s">
        <v>50</v>
      </c>
      <c r="E461" s="27" t="s">
        <v>183</v>
      </c>
      <c r="F461" s="27" t="s">
        <v>68</v>
      </c>
      <c r="G461" s="20">
        <v>129</v>
      </c>
      <c r="H461" s="20">
        <v>129</v>
      </c>
      <c r="I461" s="20">
        <v>129</v>
      </c>
    </row>
    <row r="462" spans="1:15" x14ac:dyDescent="0.2">
      <c r="A462" s="31" t="s">
        <v>69</v>
      </c>
      <c r="B462" s="18">
        <v>915</v>
      </c>
      <c r="C462" s="27" t="s">
        <v>51</v>
      </c>
      <c r="D462" s="27" t="s">
        <v>50</v>
      </c>
      <c r="E462" s="27" t="s">
        <v>183</v>
      </c>
      <c r="F462" s="27" t="s">
        <v>70</v>
      </c>
      <c r="G462" s="20">
        <v>100</v>
      </c>
      <c r="H462" s="20">
        <v>100</v>
      </c>
      <c r="I462" s="20">
        <v>100</v>
      </c>
    </row>
    <row r="463" spans="1:15" s="9" customFormat="1" ht="30.75" customHeight="1" x14ac:dyDescent="0.2">
      <c r="A463" s="47" t="s">
        <v>48</v>
      </c>
      <c r="B463" s="44">
        <v>919</v>
      </c>
      <c r="C463" s="48"/>
      <c r="D463" s="48"/>
      <c r="E463" s="48"/>
      <c r="F463" s="48"/>
      <c r="G463" s="46">
        <f>G468+G479+G519+G464</f>
        <v>283586.90000000002</v>
      </c>
      <c r="H463" s="46">
        <f t="shared" ref="H463:I463" si="52">H468+H479+H519+H464</f>
        <v>106172.5</v>
      </c>
      <c r="I463" s="46">
        <f t="shared" si="52"/>
        <v>85014.800000000017</v>
      </c>
    </row>
    <row r="464" spans="1:15" s="3" customFormat="1" ht="25.5" x14ac:dyDescent="0.2">
      <c r="A464" s="13" t="s">
        <v>5</v>
      </c>
      <c r="B464" s="49">
        <v>919</v>
      </c>
      <c r="C464" s="1" t="s">
        <v>16</v>
      </c>
      <c r="D464" s="1"/>
      <c r="E464" s="1"/>
      <c r="F464" s="1"/>
      <c r="G464" s="2">
        <f t="shared" ref="G464:I466" si="53">G465</f>
        <v>2070.6</v>
      </c>
      <c r="H464" s="2">
        <f t="shared" si="53"/>
        <v>2070.6</v>
      </c>
      <c r="I464" s="2">
        <f t="shared" si="53"/>
        <v>2070.6</v>
      </c>
    </row>
    <row r="465" spans="1:15" s="9" customFormat="1" ht="38.25" x14ac:dyDescent="0.2">
      <c r="A465" s="11" t="s">
        <v>81</v>
      </c>
      <c r="B465" s="14">
        <v>919</v>
      </c>
      <c r="C465" s="8" t="s">
        <v>16</v>
      </c>
      <c r="D465" s="8" t="s">
        <v>26</v>
      </c>
      <c r="E465" s="8"/>
      <c r="F465" s="8"/>
      <c r="G465" s="4">
        <f t="shared" si="53"/>
        <v>2070.6</v>
      </c>
      <c r="H465" s="4">
        <f t="shared" si="53"/>
        <v>2070.6</v>
      </c>
      <c r="I465" s="4">
        <f t="shared" si="53"/>
        <v>2070.6</v>
      </c>
    </row>
    <row r="466" spans="1:15" s="29" customFormat="1" x14ac:dyDescent="0.2">
      <c r="A466" s="69" t="s">
        <v>163</v>
      </c>
      <c r="B466" s="69">
        <v>919</v>
      </c>
      <c r="C466" s="19" t="s">
        <v>16</v>
      </c>
      <c r="D466" s="19" t="s">
        <v>26</v>
      </c>
      <c r="E466" s="19" t="s">
        <v>164</v>
      </c>
      <c r="F466" s="19"/>
      <c r="G466" s="20">
        <f t="shared" si="53"/>
        <v>2070.6</v>
      </c>
      <c r="H466" s="20">
        <f t="shared" si="53"/>
        <v>2070.6</v>
      </c>
      <c r="I466" s="20">
        <f t="shared" si="53"/>
        <v>2070.6</v>
      </c>
    </row>
    <row r="467" spans="1:15" s="29" customFormat="1" ht="25.5" x14ac:dyDescent="0.2">
      <c r="A467" s="31" t="s">
        <v>144</v>
      </c>
      <c r="B467" s="26">
        <v>919</v>
      </c>
      <c r="C467" s="27" t="s">
        <v>16</v>
      </c>
      <c r="D467" s="27" t="s">
        <v>26</v>
      </c>
      <c r="E467" s="27" t="s">
        <v>164</v>
      </c>
      <c r="F467" s="30" t="s">
        <v>65</v>
      </c>
      <c r="G467" s="28">
        <f>2054.4+16.2</f>
        <v>2070.6</v>
      </c>
      <c r="H467" s="28">
        <f>2054.4+16.2</f>
        <v>2070.6</v>
      </c>
      <c r="I467" s="28">
        <f>2054.4+16.2</f>
        <v>2070.6</v>
      </c>
    </row>
    <row r="468" spans="1:15" s="3" customFormat="1" x14ac:dyDescent="0.2">
      <c r="A468" s="13" t="s">
        <v>27</v>
      </c>
      <c r="B468" s="49">
        <v>919</v>
      </c>
      <c r="C468" s="1" t="s">
        <v>18</v>
      </c>
      <c r="D468" s="1"/>
      <c r="E468" s="1"/>
      <c r="F468" s="1"/>
      <c r="G468" s="2">
        <f>G469+G472</f>
        <v>116654.70000000001</v>
      </c>
      <c r="H468" s="2">
        <f>H469+H472</f>
        <v>62634</v>
      </c>
      <c r="I468" s="2">
        <f>I469+I472</f>
        <v>42048.3</v>
      </c>
      <c r="J468" s="23"/>
      <c r="K468" s="23"/>
      <c r="L468" s="23"/>
      <c r="M468" s="21"/>
      <c r="N468" s="21"/>
      <c r="O468" s="21"/>
    </row>
    <row r="469" spans="1:15" s="9" customFormat="1" x14ac:dyDescent="0.2">
      <c r="A469" s="11" t="s">
        <v>28</v>
      </c>
      <c r="B469" s="14">
        <v>919</v>
      </c>
      <c r="C469" s="8" t="s">
        <v>18</v>
      </c>
      <c r="D469" s="8" t="s">
        <v>14</v>
      </c>
      <c r="E469" s="8"/>
      <c r="F469" s="8"/>
      <c r="G469" s="4">
        <f t="shared" ref="G469:I470" si="54">G470</f>
        <v>34883.800000000003</v>
      </c>
      <c r="H469" s="4">
        <f t="shared" si="54"/>
        <v>0</v>
      </c>
      <c r="I469" s="4">
        <f t="shared" si="54"/>
        <v>0</v>
      </c>
      <c r="J469" s="29"/>
      <c r="K469" s="29"/>
      <c r="L469" s="29"/>
      <c r="M469" s="29"/>
      <c r="N469" s="29"/>
      <c r="O469" s="29"/>
    </row>
    <row r="470" spans="1:15" ht="38.25" x14ac:dyDescent="0.2">
      <c r="A470" s="18" t="s">
        <v>381</v>
      </c>
      <c r="B470" s="22">
        <v>919</v>
      </c>
      <c r="C470" s="19" t="s">
        <v>18</v>
      </c>
      <c r="D470" s="19" t="s">
        <v>14</v>
      </c>
      <c r="E470" s="19" t="s">
        <v>298</v>
      </c>
      <c r="F470" s="19"/>
      <c r="G470" s="20">
        <f t="shared" si="54"/>
        <v>34883.800000000003</v>
      </c>
      <c r="H470" s="20">
        <f t="shared" si="54"/>
        <v>0</v>
      </c>
      <c r="I470" s="20">
        <f t="shared" si="54"/>
        <v>0</v>
      </c>
      <c r="J470" s="3"/>
      <c r="K470" s="3"/>
      <c r="L470" s="3"/>
      <c r="M470" s="3"/>
      <c r="N470" s="3"/>
      <c r="O470" s="3"/>
    </row>
    <row r="471" spans="1:15" s="29" customFormat="1" x14ac:dyDescent="0.2">
      <c r="A471" s="31" t="s">
        <v>72</v>
      </c>
      <c r="B471" s="35">
        <v>919</v>
      </c>
      <c r="C471" s="27" t="s">
        <v>18</v>
      </c>
      <c r="D471" s="27" t="s">
        <v>14</v>
      </c>
      <c r="E471" s="27" t="s">
        <v>298</v>
      </c>
      <c r="F471" s="27" t="s">
        <v>73</v>
      </c>
      <c r="G471" s="28">
        <v>34883.800000000003</v>
      </c>
      <c r="H471" s="28"/>
      <c r="I471" s="28"/>
      <c r="J471" s="9"/>
      <c r="K471" s="9"/>
      <c r="L471" s="9"/>
      <c r="M471" s="9"/>
      <c r="N471" s="9"/>
      <c r="O471" s="9"/>
    </row>
    <row r="472" spans="1:15" s="9" customFormat="1" x14ac:dyDescent="0.2">
      <c r="A472" s="11" t="s">
        <v>79</v>
      </c>
      <c r="B472" s="14">
        <v>919</v>
      </c>
      <c r="C472" s="8" t="s">
        <v>18</v>
      </c>
      <c r="D472" s="8" t="s">
        <v>26</v>
      </c>
      <c r="E472" s="8"/>
      <c r="F472" s="8"/>
      <c r="G472" s="4">
        <f>G477+G473+G475</f>
        <v>81770.900000000009</v>
      </c>
      <c r="H472" s="4">
        <f t="shared" ref="H472:I472" si="55">H477+H473+H475</f>
        <v>62634</v>
      </c>
      <c r="I472" s="4">
        <f t="shared" si="55"/>
        <v>42048.3</v>
      </c>
      <c r="J472" s="21"/>
      <c r="K472" s="21"/>
      <c r="L472" s="21"/>
      <c r="M472" s="21"/>
      <c r="N472" s="21"/>
      <c r="O472" s="21"/>
    </row>
    <row r="473" spans="1:15" ht="25.5" x14ac:dyDescent="0.2">
      <c r="A473" s="18" t="s">
        <v>300</v>
      </c>
      <c r="B473" s="22">
        <v>919</v>
      </c>
      <c r="C473" s="19" t="s">
        <v>18</v>
      </c>
      <c r="D473" s="19" t="s">
        <v>26</v>
      </c>
      <c r="E473" s="19" t="s">
        <v>299</v>
      </c>
      <c r="F473" s="19"/>
      <c r="G473" s="20">
        <f>G474</f>
        <v>73107</v>
      </c>
      <c r="H473" s="20">
        <f>H474</f>
        <v>53970.1</v>
      </c>
      <c r="I473" s="20">
        <f>I474</f>
        <v>33384.400000000001</v>
      </c>
      <c r="N473" s="29"/>
      <c r="O473" s="29"/>
    </row>
    <row r="474" spans="1:15" s="29" customFormat="1" ht="25.5" x14ac:dyDescent="0.2">
      <c r="A474" s="31" t="s">
        <v>144</v>
      </c>
      <c r="B474" s="35">
        <v>919</v>
      </c>
      <c r="C474" s="27" t="s">
        <v>18</v>
      </c>
      <c r="D474" s="27" t="s">
        <v>26</v>
      </c>
      <c r="E474" s="27" t="s">
        <v>299</v>
      </c>
      <c r="F474" s="27" t="s">
        <v>65</v>
      </c>
      <c r="G474" s="28">
        <v>73107</v>
      </c>
      <c r="H474" s="28">
        <f>73107-19136.9</f>
        <v>53970.1</v>
      </c>
      <c r="I474" s="28">
        <f>73107-39722.6</f>
        <v>33384.400000000001</v>
      </c>
      <c r="J474" s="21"/>
      <c r="K474" s="21"/>
      <c r="L474" s="21"/>
      <c r="M474" s="21"/>
      <c r="N474" s="21"/>
      <c r="O474" s="21"/>
    </row>
    <row r="475" spans="1:15" ht="25.5" x14ac:dyDescent="0.2">
      <c r="A475" s="18" t="s">
        <v>302</v>
      </c>
      <c r="B475" s="18">
        <v>919</v>
      </c>
      <c r="C475" s="19" t="s">
        <v>18</v>
      </c>
      <c r="D475" s="19" t="s">
        <v>26</v>
      </c>
      <c r="E475" s="19" t="s">
        <v>301</v>
      </c>
      <c r="F475" s="19"/>
      <c r="G475" s="20">
        <f>G476</f>
        <v>8080.1</v>
      </c>
      <c r="H475" s="20">
        <f>H476</f>
        <v>8080.1</v>
      </c>
      <c r="I475" s="20">
        <f>I476</f>
        <v>8080.1</v>
      </c>
    </row>
    <row r="476" spans="1:15" ht="25.5" x14ac:dyDescent="0.2">
      <c r="A476" s="31" t="s">
        <v>144</v>
      </c>
      <c r="B476" s="31">
        <v>919</v>
      </c>
      <c r="C476" s="27" t="s">
        <v>18</v>
      </c>
      <c r="D476" s="27" t="s">
        <v>26</v>
      </c>
      <c r="E476" s="27" t="s">
        <v>301</v>
      </c>
      <c r="F476" s="27" t="s">
        <v>65</v>
      </c>
      <c r="G476" s="28">
        <v>8080.1</v>
      </c>
      <c r="H476" s="28">
        <v>8080.1</v>
      </c>
      <c r="I476" s="28">
        <v>8080.1</v>
      </c>
    </row>
    <row r="477" spans="1:15" ht="25.5" x14ac:dyDescent="0.2">
      <c r="A477" s="18" t="s">
        <v>304</v>
      </c>
      <c r="B477" s="22">
        <v>919</v>
      </c>
      <c r="C477" s="19" t="s">
        <v>18</v>
      </c>
      <c r="D477" s="19" t="s">
        <v>26</v>
      </c>
      <c r="E477" s="19" t="s">
        <v>303</v>
      </c>
      <c r="F477" s="19"/>
      <c r="G477" s="20">
        <f>G478</f>
        <v>583.79999999999995</v>
      </c>
      <c r="H477" s="20">
        <f>H478</f>
        <v>583.79999999999995</v>
      </c>
      <c r="I477" s="20">
        <f>I478</f>
        <v>583.79999999999995</v>
      </c>
      <c r="N477" s="29"/>
      <c r="O477" s="29"/>
    </row>
    <row r="478" spans="1:15" s="29" customFormat="1" ht="25.5" x14ac:dyDescent="0.2">
      <c r="A478" s="31" t="s">
        <v>144</v>
      </c>
      <c r="B478" s="35">
        <v>919</v>
      </c>
      <c r="C478" s="27" t="s">
        <v>18</v>
      </c>
      <c r="D478" s="27" t="s">
        <v>26</v>
      </c>
      <c r="E478" s="27" t="s">
        <v>303</v>
      </c>
      <c r="F478" s="27" t="s">
        <v>65</v>
      </c>
      <c r="G478" s="28">
        <v>583.79999999999995</v>
      </c>
      <c r="H478" s="28">
        <v>583.79999999999995</v>
      </c>
      <c r="I478" s="28">
        <v>583.79999999999995</v>
      </c>
      <c r="J478" s="21"/>
      <c r="K478" s="21"/>
      <c r="L478" s="21"/>
      <c r="M478" s="21"/>
      <c r="N478" s="21"/>
      <c r="O478" s="21"/>
    </row>
    <row r="479" spans="1:15" s="3" customFormat="1" x14ac:dyDescent="0.2">
      <c r="A479" s="13" t="s">
        <v>30</v>
      </c>
      <c r="B479" s="49">
        <v>919</v>
      </c>
      <c r="C479" s="1" t="s">
        <v>31</v>
      </c>
      <c r="D479" s="1"/>
      <c r="E479" s="1"/>
      <c r="F479" s="1"/>
      <c r="G479" s="2">
        <f>G480+G483+G500+G511</f>
        <v>161087.10000000003</v>
      </c>
      <c r="H479" s="2">
        <f>H480+H483+H500+H511</f>
        <v>37693.4</v>
      </c>
      <c r="I479" s="2">
        <f>I480+I483+I500+I511</f>
        <v>37121.4</v>
      </c>
      <c r="J479" s="79"/>
      <c r="K479" s="79"/>
      <c r="L479" s="79"/>
      <c r="M479" s="21"/>
      <c r="N479" s="21"/>
      <c r="O479" s="21"/>
    </row>
    <row r="480" spans="1:15" s="9" customFormat="1" x14ac:dyDescent="0.2">
      <c r="A480" s="11" t="s">
        <v>32</v>
      </c>
      <c r="B480" s="14">
        <v>919</v>
      </c>
      <c r="C480" s="8" t="s">
        <v>31</v>
      </c>
      <c r="D480" s="8" t="s">
        <v>12</v>
      </c>
      <c r="E480" s="8"/>
      <c r="F480" s="8"/>
      <c r="G480" s="4">
        <f t="shared" ref="G480:I481" si="56">G481</f>
        <v>1087.0999999999999</v>
      </c>
      <c r="H480" s="4">
        <f t="shared" si="56"/>
        <v>1087.0999999999999</v>
      </c>
      <c r="I480" s="4">
        <f t="shared" si="56"/>
        <v>1087.0999999999999</v>
      </c>
      <c r="J480" s="73"/>
      <c r="K480" s="73"/>
      <c r="L480" s="73"/>
    </row>
    <row r="481" spans="1:16" ht="25.5" x14ac:dyDescent="0.2">
      <c r="A481" s="18" t="s">
        <v>353</v>
      </c>
      <c r="B481" s="22">
        <v>919</v>
      </c>
      <c r="C481" s="19" t="s">
        <v>31</v>
      </c>
      <c r="D481" s="19" t="s">
        <v>12</v>
      </c>
      <c r="E481" s="19" t="s">
        <v>305</v>
      </c>
      <c r="F481" s="19"/>
      <c r="G481" s="20">
        <f t="shared" si="56"/>
        <v>1087.0999999999999</v>
      </c>
      <c r="H481" s="20">
        <f t="shared" si="56"/>
        <v>1087.0999999999999</v>
      </c>
      <c r="I481" s="20">
        <f t="shared" si="56"/>
        <v>1087.0999999999999</v>
      </c>
      <c r="J481" s="7"/>
      <c r="K481" s="7"/>
      <c r="L481" s="7"/>
      <c r="M481" s="7"/>
      <c r="N481" s="7"/>
      <c r="O481" s="7"/>
    </row>
    <row r="482" spans="1:16" s="29" customFormat="1" x14ac:dyDescent="0.2">
      <c r="A482" s="31" t="s">
        <v>72</v>
      </c>
      <c r="B482" s="35">
        <v>919</v>
      </c>
      <c r="C482" s="27" t="s">
        <v>31</v>
      </c>
      <c r="D482" s="27" t="s">
        <v>12</v>
      </c>
      <c r="E482" s="27" t="s">
        <v>305</v>
      </c>
      <c r="F482" s="27" t="s">
        <v>73</v>
      </c>
      <c r="G482" s="28">
        <v>1087.0999999999999</v>
      </c>
      <c r="H482" s="28">
        <v>1087.0999999999999</v>
      </c>
      <c r="I482" s="28">
        <v>1087.0999999999999</v>
      </c>
      <c r="J482" s="7"/>
      <c r="K482" s="7"/>
      <c r="L482" s="7"/>
      <c r="M482" s="7"/>
      <c r="N482" s="7"/>
      <c r="O482" s="7"/>
    </row>
    <row r="483" spans="1:16" s="9" customFormat="1" x14ac:dyDescent="0.2">
      <c r="A483" s="11" t="s">
        <v>33</v>
      </c>
      <c r="B483" s="14">
        <v>919</v>
      </c>
      <c r="C483" s="8" t="s">
        <v>31</v>
      </c>
      <c r="D483" s="8" t="s">
        <v>14</v>
      </c>
      <c r="E483" s="8"/>
      <c r="F483" s="8"/>
      <c r="G483" s="4">
        <f>G490+G494+G496+G498+G484+G488+G486+G492</f>
        <v>127414.70000000001</v>
      </c>
      <c r="H483" s="4">
        <f t="shared" ref="H483:I483" si="57">H490+H494+H496+H498+H484+H488+H486+H492</f>
        <v>3871</v>
      </c>
      <c r="I483" s="4">
        <f t="shared" si="57"/>
        <v>3449</v>
      </c>
      <c r="J483" s="21"/>
      <c r="K483" s="21"/>
      <c r="L483" s="21"/>
      <c r="M483" s="21"/>
      <c r="N483" s="21"/>
      <c r="O483" s="21"/>
    </row>
    <row r="484" spans="1:16" s="7" customFormat="1" ht="25.5" x14ac:dyDescent="0.2">
      <c r="A484" s="17" t="s">
        <v>307</v>
      </c>
      <c r="B484" s="50">
        <v>919</v>
      </c>
      <c r="C484" s="19" t="s">
        <v>31</v>
      </c>
      <c r="D484" s="19" t="s">
        <v>14</v>
      </c>
      <c r="E484" s="19" t="s">
        <v>306</v>
      </c>
      <c r="F484" s="19"/>
      <c r="G484" s="20">
        <f>G485</f>
        <v>2000</v>
      </c>
      <c r="H484" s="20">
        <f t="shared" ref="H484:I484" si="58">H485</f>
        <v>2701</v>
      </c>
      <c r="I484" s="20">
        <f t="shared" si="58"/>
        <v>2379</v>
      </c>
      <c r="J484" s="29"/>
      <c r="K484" s="29"/>
      <c r="L484" s="29"/>
      <c r="M484" s="29"/>
      <c r="N484" s="29"/>
      <c r="O484" s="29"/>
    </row>
    <row r="485" spans="1:16" s="7" customFormat="1" ht="25.5" x14ac:dyDescent="0.2">
      <c r="A485" s="31" t="s">
        <v>76</v>
      </c>
      <c r="B485" s="35">
        <v>919</v>
      </c>
      <c r="C485" s="27" t="s">
        <v>31</v>
      </c>
      <c r="D485" s="27" t="s">
        <v>14</v>
      </c>
      <c r="E485" s="27" t="s">
        <v>306</v>
      </c>
      <c r="F485" s="27" t="s">
        <v>68</v>
      </c>
      <c r="G485" s="28">
        <v>2000</v>
      </c>
      <c r="H485" s="28">
        <v>2701</v>
      </c>
      <c r="I485" s="28">
        <v>2379</v>
      </c>
      <c r="J485" s="21"/>
      <c r="K485" s="21"/>
      <c r="L485" s="21"/>
      <c r="M485" s="21"/>
      <c r="N485" s="21"/>
      <c r="O485" s="21"/>
    </row>
    <row r="486" spans="1:16" s="7" customFormat="1" ht="25.5" x14ac:dyDescent="0.2">
      <c r="A486" s="17" t="s">
        <v>339</v>
      </c>
      <c r="B486" s="50">
        <v>919</v>
      </c>
      <c r="C486" s="19" t="s">
        <v>31</v>
      </c>
      <c r="D486" s="19" t="s">
        <v>14</v>
      </c>
      <c r="E486" s="19" t="s">
        <v>338</v>
      </c>
      <c r="F486" s="19"/>
      <c r="G486" s="20">
        <f>G487</f>
        <v>59030</v>
      </c>
      <c r="H486" s="20">
        <f>H487</f>
        <v>0</v>
      </c>
      <c r="I486" s="20">
        <f>I487</f>
        <v>0</v>
      </c>
      <c r="J486" s="29"/>
      <c r="K486" s="29"/>
      <c r="L486" s="29"/>
      <c r="M486" s="29"/>
      <c r="N486" s="29"/>
      <c r="O486" s="29"/>
    </row>
    <row r="487" spans="1:16" s="7" customFormat="1" ht="25.5" x14ac:dyDescent="0.2">
      <c r="A487" s="31" t="s">
        <v>83</v>
      </c>
      <c r="B487" s="35">
        <v>919</v>
      </c>
      <c r="C487" s="27" t="s">
        <v>31</v>
      </c>
      <c r="D487" s="27" t="s">
        <v>14</v>
      </c>
      <c r="E487" s="27" t="s">
        <v>338</v>
      </c>
      <c r="F487" s="27" t="s">
        <v>71</v>
      </c>
      <c r="G487" s="28">
        <f>3827+55203</f>
        <v>59030</v>
      </c>
      <c r="H487" s="28"/>
      <c r="I487" s="28"/>
      <c r="J487" s="21"/>
      <c r="K487" s="21"/>
      <c r="L487" s="21"/>
      <c r="M487" s="21"/>
      <c r="N487" s="21"/>
      <c r="O487" s="21"/>
    </row>
    <row r="488" spans="1:16" s="7" customFormat="1" x14ac:dyDescent="0.2">
      <c r="A488" s="17" t="s">
        <v>309</v>
      </c>
      <c r="B488" s="50">
        <v>919</v>
      </c>
      <c r="C488" s="19" t="s">
        <v>31</v>
      </c>
      <c r="D488" s="19" t="s">
        <v>14</v>
      </c>
      <c r="E488" s="19" t="s">
        <v>308</v>
      </c>
      <c r="F488" s="19"/>
      <c r="G488" s="20">
        <f>G489</f>
        <v>770</v>
      </c>
      <c r="H488" s="20">
        <f>H489</f>
        <v>770</v>
      </c>
      <c r="I488" s="20">
        <f>I489</f>
        <v>770</v>
      </c>
      <c r="J488" s="29"/>
      <c r="K488" s="29"/>
      <c r="L488" s="29"/>
      <c r="M488" s="29"/>
      <c r="N488" s="29"/>
      <c r="O488" s="29"/>
    </row>
    <row r="489" spans="1:16" s="7" customFormat="1" ht="25.5" x14ac:dyDescent="0.2">
      <c r="A489" s="31" t="s">
        <v>76</v>
      </c>
      <c r="B489" s="35">
        <v>919</v>
      </c>
      <c r="C489" s="27" t="s">
        <v>31</v>
      </c>
      <c r="D489" s="27" t="s">
        <v>14</v>
      </c>
      <c r="E489" s="27" t="s">
        <v>308</v>
      </c>
      <c r="F489" s="27" t="s">
        <v>68</v>
      </c>
      <c r="G489" s="28">
        <v>770</v>
      </c>
      <c r="H489" s="28">
        <v>770</v>
      </c>
      <c r="I489" s="28">
        <v>770</v>
      </c>
      <c r="J489" s="21"/>
      <c r="K489" s="21"/>
      <c r="L489" s="21"/>
      <c r="M489" s="21"/>
      <c r="N489" s="21"/>
      <c r="O489" s="21"/>
    </row>
    <row r="490" spans="1:16" s="7" customFormat="1" x14ac:dyDescent="0.2">
      <c r="A490" s="17" t="s">
        <v>311</v>
      </c>
      <c r="B490" s="50">
        <v>919</v>
      </c>
      <c r="C490" s="19" t="s">
        <v>31</v>
      </c>
      <c r="D490" s="19" t="s">
        <v>14</v>
      </c>
      <c r="E490" s="19" t="s">
        <v>310</v>
      </c>
      <c r="F490" s="19"/>
      <c r="G490" s="20">
        <f>G491</f>
        <v>700</v>
      </c>
      <c r="H490" s="20">
        <f t="shared" ref="H490:I490" si="59">H491</f>
        <v>400</v>
      </c>
      <c r="I490" s="20">
        <f t="shared" si="59"/>
        <v>300</v>
      </c>
      <c r="J490" s="29"/>
      <c r="K490" s="29"/>
      <c r="L490" s="29"/>
      <c r="M490" s="29"/>
      <c r="N490" s="29"/>
      <c r="O490" s="29"/>
    </row>
    <row r="491" spans="1:16" s="7" customFormat="1" ht="25.5" x14ac:dyDescent="0.2">
      <c r="A491" s="31" t="s">
        <v>76</v>
      </c>
      <c r="B491" s="35">
        <v>919</v>
      </c>
      <c r="C491" s="27" t="s">
        <v>31</v>
      </c>
      <c r="D491" s="27" t="s">
        <v>14</v>
      </c>
      <c r="E491" s="27" t="s">
        <v>310</v>
      </c>
      <c r="F491" s="27" t="s">
        <v>68</v>
      </c>
      <c r="G491" s="28">
        <v>700</v>
      </c>
      <c r="H491" s="28">
        <v>400</v>
      </c>
      <c r="I491" s="28">
        <v>300</v>
      </c>
      <c r="J491" s="21"/>
      <c r="K491" s="21"/>
      <c r="L491" s="21"/>
      <c r="M491" s="21"/>
      <c r="N491" s="21"/>
      <c r="O491" s="21"/>
    </row>
    <row r="492" spans="1:16" s="7" customFormat="1" ht="13.5" customHeight="1" x14ac:dyDescent="0.2">
      <c r="A492" s="17" t="s">
        <v>369</v>
      </c>
      <c r="B492" s="17">
        <v>919</v>
      </c>
      <c r="C492" s="19" t="s">
        <v>31</v>
      </c>
      <c r="D492" s="19" t="s">
        <v>14</v>
      </c>
      <c r="E492" s="19" t="s">
        <v>368</v>
      </c>
      <c r="F492" s="19"/>
      <c r="G492" s="20">
        <f>G493</f>
        <v>4600</v>
      </c>
      <c r="H492" s="20">
        <f>H493</f>
        <v>0</v>
      </c>
      <c r="I492" s="20">
        <f>I493</f>
        <v>0</v>
      </c>
      <c r="J492" s="29"/>
      <c r="K492" s="29"/>
      <c r="L492" s="29"/>
      <c r="M492" s="29"/>
      <c r="N492" s="29"/>
      <c r="O492" s="29"/>
      <c r="P492" s="29"/>
    </row>
    <row r="493" spans="1:16" s="7" customFormat="1" ht="25.5" x14ac:dyDescent="0.2">
      <c r="A493" s="31" t="s">
        <v>76</v>
      </c>
      <c r="B493" s="31">
        <v>919</v>
      </c>
      <c r="C493" s="27" t="s">
        <v>31</v>
      </c>
      <c r="D493" s="27" t="s">
        <v>14</v>
      </c>
      <c r="E493" s="27" t="s">
        <v>368</v>
      </c>
      <c r="F493" s="27" t="s">
        <v>68</v>
      </c>
      <c r="G493" s="28">
        <v>4600</v>
      </c>
      <c r="H493" s="28">
        <v>0</v>
      </c>
      <c r="I493" s="28">
        <v>0</v>
      </c>
      <c r="J493" s="21"/>
      <c r="K493" s="21"/>
      <c r="L493" s="21"/>
      <c r="M493" s="21"/>
      <c r="N493" s="21"/>
      <c r="O493" s="21"/>
      <c r="P493" s="21"/>
    </row>
    <row r="494" spans="1:16" ht="63.75" x14ac:dyDescent="0.2">
      <c r="A494" s="18" t="s">
        <v>313</v>
      </c>
      <c r="B494" s="22">
        <v>919</v>
      </c>
      <c r="C494" s="19" t="s">
        <v>31</v>
      </c>
      <c r="D494" s="19" t="s">
        <v>14</v>
      </c>
      <c r="E494" s="19" t="s">
        <v>312</v>
      </c>
      <c r="F494" s="19"/>
      <c r="G494" s="20">
        <f>G495</f>
        <v>55884</v>
      </c>
      <c r="H494" s="20">
        <f>H495</f>
        <v>0</v>
      </c>
      <c r="I494" s="20">
        <f>I495</f>
        <v>0</v>
      </c>
      <c r="J494" s="29"/>
      <c r="K494" s="29"/>
      <c r="L494" s="29"/>
      <c r="M494" s="29"/>
      <c r="N494" s="29"/>
      <c r="O494" s="29"/>
    </row>
    <row r="495" spans="1:16" s="29" customFormat="1" x14ac:dyDescent="0.2">
      <c r="A495" s="31" t="s">
        <v>72</v>
      </c>
      <c r="B495" s="35">
        <v>919</v>
      </c>
      <c r="C495" s="27" t="s">
        <v>31</v>
      </c>
      <c r="D495" s="27" t="s">
        <v>14</v>
      </c>
      <c r="E495" s="27" t="s">
        <v>312</v>
      </c>
      <c r="F495" s="27" t="s">
        <v>73</v>
      </c>
      <c r="G495" s="28">
        <f>29467.8+84762.4+1456.8-55203-4600</f>
        <v>55884</v>
      </c>
      <c r="H495" s="28"/>
      <c r="I495" s="28"/>
      <c r="J495" s="21"/>
      <c r="K495" s="21"/>
      <c r="L495" s="21"/>
      <c r="M495" s="21"/>
      <c r="N495" s="21"/>
      <c r="O495" s="21"/>
    </row>
    <row r="496" spans="1:16" ht="63.75" x14ac:dyDescent="0.2">
      <c r="A496" s="17" t="s">
        <v>315</v>
      </c>
      <c r="B496" s="50">
        <v>919</v>
      </c>
      <c r="C496" s="19" t="s">
        <v>31</v>
      </c>
      <c r="D496" s="19" t="s">
        <v>14</v>
      </c>
      <c r="E496" s="19" t="s">
        <v>314</v>
      </c>
      <c r="F496" s="19"/>
      <c r="G496" s="20">
        <f>G497</f>
        <v>1511.3</v>
      </c>
      <c r="H496" s="20">
        <f>H497</f>
        <v>0</v>
      </c>
      <c r="I496" s="20">
        <f>I497</f>
        <v>0</v>
      </c>
      <c r="J496" s="29"/>
      <c r="K496" s="29"/>
      <c r="L496" s="29"/>
      <c r="M496" s="29"/>
      <c r="N496" s="29"/>
      <c r="O496" s="29"/>
    </row>
    <row r="497" spans="1:15" s="29" customFormat="1" x14ac:dyDescent="0.2">
      <c r="A497" s="31" t="s">
        <v>72</v>
      </c>
      <c r="B497" s="35">
        <v>919</v>
      </c>
      <c r="C497" s="27" t="s">
        <v>31</v>
      </c>
      <c r="D497" s="27" t="s">
        <v>14</v>
      </c>
      <c r="E497" s="27" t="s">
        <v>314</v>
      </c>
      <c r="F497" s="27" t="s">
        <v>73</v>
      </c>
      <c r="G497" s="28">
        <v>1511.3</v>
      </c>
      <c r="H497" s="28"/>
      <c r="I497" s="28"/>
      <c r="J497" s="9"/>
      <c r="K497" s="9"/>
      <c r="L497" s="9"/>
      <c r="M497" s="9"/>
      <c r="N497" s="9"/>
      <c r="O497" s="9"/>
    </row>
    <row r="498" spans="1:15" ht="38.25" x14ac:dyDescent="0.2">
      <c r="A498" s="18" t="s">
        <v>317</v>
      </c>
      <c r="B498" s="22">
        <v>919</v>
      </c>
      <c r="C498" s="19" t="s">
        <v>31</v>
      </c>
      <c r="D498" s="19" t="s">
        <v>14</v>
      </c>
      <c r="E498" s="19" t="s">
        <v>316</v>
      </c>
      <c r="F498" s="19"/>
      <c r="G498" s="20">
        <f>G499</f>
        <v>2919.4</v>
      </c>
      <c r="H498" s="20">
        <f>H499</f>
        <v>0</v>
      </c>
      <c r="I498" s="20">
        <f>I499</f>
        <v>0</v>
      </c>
    </row>
    <row r="499" spans="1:15" s="29" customFormat="1" x14ac:dyDescent="0.2">
      <c r="A499" s="31" t="s">
        <v>72</v>
      </c>
      <c r="B499" s="35">
        <v>919</v>
      </c>
      <c r="C499" s="27" t="s">
        <v>31</v>
      </c>
      <c r="D499" s="27" t="s">
        <v>14</v>
      </c>
      <c r="E499" s="27" t="s">
        <v>316</v>
      </c>
      <c r="F499" s="27" t="s">
        <v>73</v>
      </c>
      <c r="G499" s="28">
        <v>2919.4</v>
      </c>
      <c r="H499" s="28"/>
      <c r="I499" s="28"/>
      <c r="J499" s="21"/>
      <c r="K499" s="21"/>
      <c r="L499" s="21"/>
      <c r="M499" s="21"/>
      <c r="N499" s="21"/>
      <c r="O499" s="21"/>
    </row>
    <row r="500" spans="1:15" s="9" customFormat="1" x14ac:dyDescent="0.2">
      <c r="A500" s="11" t="s">
        <v>35</v>
      </c>
      <c r="B500" s="14">
        <v>919</v>
      </c>
      <c r="C500" s="8" t="s">
        <v>31</v>
      </c>
      <c r="D500" s="8" t="s">
        <v>16</v>
      </c>
      <c r="E500" s="8"/>
      <c r="F500" s="8"/>
      <c r="G500" s="4">
        <f>G503+G505+G507+G509+G501</f>
        <v>10560</v>
      </c>
      <c r="H500" s="4">
        <f t="shared" ref="H500:I500" si="60">H503+H505+H507+H509+H501</f>
        <v>10710</v>
      </c>
      <c r="I500" s="4">
        <f t="shared" si="60"/>
        <v>10560</v>
      </c>
      <c r="J500" s="7"/>
      <c r="K500" s="7"/>
      <c r="L500" s="7"/>
      <c r="M500" s="7"/>
      <c r="N500" s="7"/>
      <c r="O500" s="7"/>
    </row>
    <row r="501" spans="1:15" s="7" customFormat="1" ht="25.5" x14ac:dyDescent="0.2">
      <c r="A501" s="17" t="s">
        <v>389</v>
      </c>
      <c r="B501" s="50">
        <v>919</v>
      </c>
      <c r="C501" s="19" t="s">
        <v>31</v>
      </c>
      <c r="D501" s="19" t="s">
        <v>16</v>
      </c>
      <c r="E501" s="19" t="s">
        <v>388</v>
      </c>
      <c r="F501" s="19"/>
      <c r="G501" s="20">
        <f>G502</f>
        <v>0</v>
      </c>
      <c r="H501" s="20">
        <f>H502</f>
        <v>150</v>
      </c>
      <c r="I501" s="20">
        <f>I502</f>
        <v>0</v>
      </c>
      <c r="J501" s="29"/>
      <c r="K501" s="29"/>
      <c r="L501" s="29"/>
      <c r="M501" s="29"/>
      <c r="N501" s="29"/>
      <c r="O501" s="29"/>
    </row>
    <row r="502" spans="1:15" s="7" customFormat="1" ht="25.5" x14ac:dyDescent="0.2">
      <c r="A502" s="31" t="s">
        <v>76</v>
      </c>
      <c r="B502" s="35">
        <v>919</v>
      </c>
      <c r="C502" s="27" t="s">
        <v>31</v>
      </c>
      <c r="D502" s="27" t="s">
        <v>16</v>
      </c>
      <c r="E502" s="19" t="s">
        <v>388</v>
      </c>
      <c r="F502" s="27" t="s">
        <v>68</v>
      </c>
      <c r="G502" s="28">
        <v>0</v>
      </c>
      <c r="H502" s="28">
        <v>150</v>
      </c>
      <c r="I502" s="28">
        <v>0</v>
      </c>
      <c r="J502" s="21"/>
      <c r="K502" s="21"/>
      <c r="L502" s="21"/>
      <c r="M502" s="21"/>
      <c r="N502" s="21"/>
      <c r="O502" s="21"/>
    </row>
    <row r="503" spans="1:15" s="7" customFormat="1" x14ac:dyDescent="0.2">
      <c r="A503" s="18" t="s">
        <v>319</v>
      </c>
      <c r="B503" s="22">
        <v>919</v>
      </c>
      <c r="C503" s="19" t="s">
        <v>31</v>
      </c>
      <c r="D503" s="19" t="s">
        <v>16</v>
      </c>
      <c r="E503" s="19" t="s">
        <v>318</v>
      </c>
      <c r="F503" s="19"/>
      <c r="G503" s="20">
        <f>G504</f>
        <v>400</v>
      </c>
      <c r="H503" s="20">
        <f>H504</f>
        <v>400</v>
      </c>
      <c r="I503" s="20">
        <f>I504</f>
        <v>400</v>
      </c>
      <c r="J503" s="29"/>
      <c r="K503" s="29"/>
      <c r="L503" s="29"/>
      <c r="M503" s="29"/>
      <c r="N503" s="29"/>
      <c r="O503" s="29"/>
    </row>
    <row r="504" spans="1:15" s="29" customFormat="1" ht="25.5" x14ac:dyDescent="0.2">
      <c r="A504" s="31" t="s">
        <v>144</v>
      </c>
      <c r="B504" s="35">
        <v>919</v>
      </c>
      <c r="C504" s="27" t="s">
        <v>31</v>
      </c>
      <c r="D504" s="27" t="s">
        <v>16</v>
      </c>
      <c r="E504" s="27" t="s">
        <v>318</v>
      </c>
      <c r="F504" s="27" t="s">
        <v>65</v>
      </c>
      <c r="G504" s="28">
        <v>400</v>
      </c>
      <c r="H504" s="28">
        <v>400</v>
      </c>
      <c r="I504" s="28">
        <v>400</v>
      </c>
      <c r="J504" s="7"/>
      <c r="K504" s="7"/>
      <c r="L504" s="7"/>
      <c r="M504" s="7"/>
      <c r="N504" s="7"/>
      <c r="O504" s="7"/>
    </row>
    <row r="505" spans="1:15" s="7" customFormat="1" ht="25.5" x14ac:dyDescent="0.2">
      <c r="A505" s="18" t="s">
        <v>320</v>
      </c>
      <c r="B505" s="22">
        <v>919</v>
      </c>
      <c r="C505" s="19" t="s">
        <v>31</v>
      </c>
      <c r="D505" s="19" t="s">
        <v>16</v>
      </c>
      <c r="E505" s="19" t="s">
        <v>321</v>
      </c>
      <c r="F505" s="19"/>
      <c r="G505" s="20">
        <f>G506</f>
        <v>3000</v>
      </c>
      <c r="H505" s="20">
        <f>H506</f>
        <v>3000</v>
      </c>
      <c r="I505" s="20">
        <f>I506</f>
        <v>3000</v>
      </c>
      <c r="J505" s="29"/>
      <c r="K505" s="29"/>
      <c r="L505" s="29"/>
      <c r="M505" s="29"/>
      <c r="N505" s="29"/>
      <c r="O505" s="29"/>
    </row>
    <row r="506" spans="1:15" s="29" customFormat="1" ht="25.5" x14ac:dyDescent="0.2">
      <c r="A506" s="31" t="s">
        <v>144</v>
      </c>
      <c r="B506" s="35">
        <v>919</v>
      </c>
      <c r="C506" s="27" t="s">
        <v>31</v>
      </c>
      <c r="D506" s="27" t="s">
        <v>16</v>
      </c>
      <c r="E506" s="27" t="s">
        <v>321</v>
      </c>
      <c r="F506" s="27" t="s">
        <v>65</v>
      </c>
      <c r="G506" s="28">
        <v>3000</v>
      </c>
      <c r="H506" s="28">
        <v>3000</v>
      </c>
      <c r="I506" s="28">
        <v>3000</v>
      </c>
      <c r="J506" s="9"/>
      <c r="K506" s="9"/>
      <c r="L506" s="9"/>
      <c r="M506" s="9"/>
      <c r="N506" s="9"/>
      <c r="O506" s="9"/>
    </row>
    <row r="507" spans="1:15" s="7" customFormat="1" x14ac:dyDescent="0.2">
      <c r="A507" s="18" t="s">
        <v>323</v>
      </c>
      <c r="B507" s="22">
        <v>919</v>
      </c>
      <c r="C507" s="27" t="s">
        <v>31</v>
      </c>
      <c r="D507" s="27" t="s">
        <v>16</v>
      </c>
      <c r="E507" s="19" t="s">
        <v>322</v>
      </c>
      <c r="F507" s="27"/>
      <c r="G507" s="28">
        <f>G508</f>
        <v>1500</v>
      </c>
      <c r="H507" s="28">
        <f>H508</f>
        <v>1500</v>
      </c>
      <c r="I507" s="28">
        <f>I508</f>
        <v>1500</v>
      </c>
      <c r="J507" s="21"/>
      <c r="K507" s="21"/>
      <c r="L507" s="21"/>
      <c r="M507" s="21"/>
      <c r="N507" s="21"/>
      <c r="O507" s="21"/>
    </row>
    <row r="508" spans="1:15" s="29" customFormat="1" ht="25.5" x14ac:dyDescent="0.2">
      <c r="A508" s="31" t="s">
        <v>144</v>
      </c>
      <c r="B508" s="35">
        <v>919</v>
      </c>
      <c r="C508" s="27" t="s">
        <v>31</v>
      </c>
      <c r="D508" s="27" t="s">
        <v>16</v>
      </c>
      <c r="E508" s="27" t="s">
        <v>322</v>
      </c>
      <c r="F508" s="27" t="s">
        <v>65</v>
      </c>
      <c r="G508" s="28">
        <v>1500</v>
      </c>
      <c r="H508" s="28">
        <v>1500</v>
      </c>
      <c r="I508" s="28">
        <v>1500</v>
      </c>
    </row>
    <row r="509" spans="1:15" s="7" customFormat="1" ht="38.25" x14ac:dyDescent="0.2">
      <c r="A509" s="18" t="s">
        <v>325</v>
      </c>
      <c r="B509" s="22">
        <v>919</v>
      </c>
      <c r="C509" s="19" t="s">
        <v>31</v>
      </c>
      <c r="D509" s="19" t="s">
        <v>16</v>
      </c>
      <c r="E509" s="16" t="s">
        <v>324</v>
      </c>
      <c r="F509" s="19"/>
      <c r="G509" s="20">
        <f>G510</f>
        <v>5660</v>
      </c>
      <c r="H509" s="20">
        <f>H510</f>
        <v>5660</v>
      </c>
      <c r="I509" s="20">
        <f>I510</f>
        <v>5660</v>
      </c>
      <c r="J509" s="21"/>
      <c r="K509" s="21"/>
      <c r="L509" s="21"/>
      <c r="M509" s="21"/>
      <c r="N509" s="21"/>
      <c r="O509" s="21"/>
    </row>
    <row r="510" spans="1:15" s="29" customFormat="1" ht="25.5" x14ac:dyDescent="0.2">
      <c r="A510" s="31" t="s">
        <v>144</v>
      </c>
      <c r="B510" s="35">
        <v>919</v>
      </c>
      <c r="C510" s="27" t="s">
        <v>31</v>
      </c>
      <c r="D510" s="27" t="s">
        <v>16</v>
      </c>
      <c r="E510" s="16" t="s">
        <v>324</v>
      </c>
      <c r="F510" s="27" t="s">
        <v>65</v>
      </c>
      <c r="G510" s="28">
        <v>5660</v>
      </c>
      <c r="H510" s="28">
        <v>5660</v>
      </c>
      <c r="I510" s="28">
        <v>5660</v>
      </c>
    </row>
    <row r="511" spans="1:15" s="9" customFormat="1" ht="25.5" x14ac:dyDescent="0.2">
      <c r="A511" s="11" t="s">
        <v>36</v>
      </c>
      <c r="B511" s="14">
        <v>919</v>
      </c>
      <c r="C511" s="8" t="s">
        <v>31</v>
      </c>
      <c r="D511" s="8" t="s">
        <v>31</v>
      </c>
      <c r="E511" s="8"/>
      <c r="F511" s="8"/>
      <c r="G511" s="4">
        <f>G512+G514+G517</f>
        <v>22025.300000000003</v>
      </c>
      <c r="H511" s="4">
        <f>H512+H514+H517</f>
        <v>22025.300000000003</v>
      </c>
      <c r="I511" s="4">
        <f>I512+I514+I517</f>
        <v>22025.300000000003</v>
      </c>
      <c r="J511" s="29"/>
      <c r="K511" s="29"/>
      <c r="L511" s="29"/>
      <c r="M511" s="29"/>
      <c r="N511" s="29"/>
      <c r="O511" s="29"/>
    </row>
    <row r="512" spans="1:15" ht="38.25" x14ac:dyDescent="0.2">
      <c r="A512" s="18" t="s">
        <v>327</v>
      </c>
      <c r="B512" s="22">
        <v>919</v>
      </c>
      <c r="C512" s="19" t="s">
        <v>31</v>
      </c>
      <c r="D512" s="19" t="s">
        <v>31</v>
      </c>
      <c r="E512" s="19" t="s">
        <v>326</v>
      </c>
      <c r="F512" s="19"/>
      <c r="G512" s="20">
        <f>G513</f>
        <v>6359.7</v>
      </c>
      <c r="H512" s="20">
        <f>H513</f>
        <v>6359.7</v>
      </c>
      <c r="I512" s="20">
        <f>I513</f>
        <v>6359.7</v>
      </c>
      <c r="J512" s="29"/>
      <c r="K512" s="29"/>
      <c r="L512" s="29"/>
      <c r="M512" s="29"/>
      <c r="N512" s="29"/>
      <c r="O512" s="29"/>
    </row>
    <row r="513" spans="1:15" s="29" customFormat="1" ht="25.5" x14ac:dyDescent="0.2">
      <c r="A513" s="31" t="s">
        <v>144</v>
      </c>
      <c r="B513" s="35">
        <v>919</v>
      </c>
      <c r="C513" s="27" t="s">
        <v>31</v>
      </c>
      <c r="D513" s="27" t="s">
        <v>31</v>
      </c>
      <c r="E513" s="27" t="s">
        <v>326</v>
      </c>
      <c r="F513" s="27" t="s">
        <v>65</v>
      </c>
      <c r="G513" s="28">
        <f>6299.2+60.5</f>
        <v>6359.7</v>
      </c>
      <c r="H513" s="28">
        <f>6299.2+60.5</f>
        <v>6359.7</v>
      </c>
      <c r="I513" s="28">
        <f>6299.2+60.5</f>
        <v>6359.7</v>
      </c>
      <c r="J513" s="12"/>
      <c r="K513" s="12"/>
      <c r="L513" s="12"/>
      <c r="M513" s="12"/>
      <c r="N513" s="12"/>
      <c r="O513" s="12"/>
    </row>
    <row r="514" spans="1:15" ht="23.25" customHeight="1" x14ac:dyDescent="0.2">
      <c r="A514" s="18" t="s">
        <v>329</v>
      </c>
      <c r="B514" s="22">
        <v>919</v>
      </c>
      <c r="C514" s="19" t="s">
        <v>31</v>
      </c>
      <c r="D514" s="19" t="s">
        <v>31</v>
      </c>
      <c r="E514" s="19" t="s">
        <v>328</v>
      </c>
      <c r="F514" s="19"/>
      <c r="G514" s="20">
        <f>G515+G516</f>
        <v>4434.2</v>
      </c>
      <c r="H514" s="20">
        <f t="shared" ref="H514:I514" si="61">H515+H516</f>
        <v>4434.2</v>
      </c>
      <c r="I514" s="20">
        <f t="shared" si="61"/>
        <v>4434.2</v>
      </c>
      <c r="J514" s="29"/>
      <c r="K514" s="29"/>
      <c r="L514" s="29"/>
      <c r="M514" s="29"/>
      <c r="N514" s="29"/>
      <c r="O514" s="29"/>
    </row>
    <row r="515" spans="1:15" s="29" customFormat="1" ht="54" customHeight="1" x14ac:dyDescent="0.2">
      <c r="A515" s="34" t="s">
        <v>66</v>
      </c>
      <c r="B515" s="36">
        <v>919</v>
      </c>
      <c r="C515" s="27" t="s">
        <v>31</v>
      </c>
      <c r="D515" s="27" t="s">
        <v>31</v>
      </c>
      <c r="E515" s="27" t="s">
        <v>328</v>
      </c>
      <c r="F515" s="27" t="s">
        <v>67</v>
      </c>
      <c r="G515" s="28">
        <f>3230.8+975.7+0.8+40.5</f>
        <v>4247.8</v>
      </c>
      <c r="H515" s="28">
        <f>3230.8+975.7+0.8+40.5</f>
        <v>4247.8</v>
      </c>
      <c r="I515" s="28">
        <f>3230.8+975.7+0.8+40.5</f>
        <v>4247.8</v>
      </c>
      <c r="J515" s="12"/>
      <c r="K515" s="12"/>
      <c r="L515" s="12"/>
      <c r="M515" s="12"/>
      <c r="N515" s="12"/>
      <c r="O515" s="12"/>
    </row>
    <row r="516" spans="1:15" s="29" customFormat="1" ht="25.5" x14ac:dyDescent="0.2">
      <c r="A516" s="31" t="s">
        <v>76</v>
      </c>
      <c r="B516" s="36">
        <v>919</v>
      </c>
      <c r="C516" s="27" t="s">
        <v>31</v>
      </c>
      <c r="D516" s="27" t="s">
        <v>31</v>
      </c>
      <c r="E516" s="27" t="s">
        <v>328</v>
      </c>
      <c r="F516" s="27" t="s">
        <v>68</v>
      </c>
      <c r="G516" s="28">
        <f>40+0.8+8+62.4+46+30-0.8</f>
        <v>186.39999999999998</v>
      </c>
      <c r="H516" s="28">
        <f>40+0.8+8+62.4+46+30-0.8</f>
        <v>186.39999999999998</v>
      </c>
      <c r="I516" s="28">
        <f>40+0.8+8+62.4+46+30-0.8</f>
        <v>186.39999999999998</v>
      </c>
    </row>
    <row r="517" spans="1:15" s="12" customFormat="1" ht="38.25" x14ac:dyDescent="0.2">
      <c r="A517" s="18" t="s">
        <v>331</v>
      </c>
      <c r="B517" s="22">
        <v>919</v>
      </c>
      <c r="C517" s="19" t="s">
        <v>31</v>
      </c>
      <c r="D517" s="19" t="s">
        <v>31</v>
      </c>
      <c r="E517" s="19" t="s">
        <v>330</v>
      </c>
      <c r="F517" s="5"/>
      <c r="G517" s="6">
        <f>G518</f>
        <v>11231.400000000001</v>
      </c>
      <c r="H517" s="6">
        <f>H518</f>
        <v>11231.400000000001</v>
      </c>
      <c r="I517" s="6">
        <f>I518</f>
        <v>11231.400000000001</v>
      </c>
      <c r="J517" s="3"/>
      <c r="K517" s="3"/>
      <c r="L517" s="3"/>
      <c r="M517" s="3"/>
      <c r="N517" s="3"/>
      <c r="O517" s="3"/>
    </row>
    <row r="518" spans="1:15" s="29" customFormat="1" ht="25.5" x14ac:dyDescent="0.2">
      <c r="A518" s="31" t="s">
        <v>144</v>
      </c>
      <c r="B518" s="35">
        <v>919</v>
      </c>
      <c r="C518" s="27" t="s">
        <v>31</v>
      </c>
      <c r="D518" s="27" t="s">
        <v>31</v>
      </c>
      <c r="E518" s="27" t="s">
        <v>330</v>
      </c>
      <c r="F518" s="27" t="s">
        <v>65</v>
      </c>
      <c r="G518" s="28">
        <f>11136.2+95.2</f>
        <v>11231.400000000001</v>
      </c>
      <c r="H518" s="28">
        <f>11136.2+95.2</f>
        <v>11231.400000000001</v>
      </c>
      <c r="I518" s="28">
        <f>11136.2+95.2</f>
        <v>11231.400000000001</v>
      </c>
      <c r="J518" s="21"/>
      <c r="K518" s="21"/>
      <c r="L518" s="21"/>
      <c r="M518" s="21"/>
      <c r="N518" s="21"/>
      <c r="O518" s="21"/>
    </row>
    <row r="519" spans="1:15" s="9" customFormat="1" x14ac:dyDescent="0.2">
      <c r="A519" s="11" t="s">
        <v>52</v>
      </c>
      <c r="B519" s="14">
        <v>919</v>
      </c>
      <c r="C519" s="8" t="s">
        <v>51</v>
      </c>
      <c r="D519" s="8"/>
      <c r="E519" s="8"/>
      <c r="F519" s="8"/>
      <c r="G519" s="4">
        <f>G520+G523</f>
        <v>3774.4999999999995</v>
      </c>
      <c r="H519" s="4">
        <f>H520+H523</f>
        <v>3774.4999999999995</v>
      </c>
      <c r="I519" s="4">
        <f>I520+I523</f>
        <v>3774.4999999999995</v>
      </c>
      <c r="J519" s="21"/>
      <c r="K519" s="21"/>
      <c r="L519" s="21"/>
      <c r="M519" s="21"/>
      <c r="N519" s="21"/>
      <c r="O519" s="21"/>
    </row>
    <row r="520" spans="1:15" s="3" customFormat="1" x14ac:dyDescent="0.2">
      <c r="A520" s="13" t="s">
        <v>55</v>
      </c>
      <c r="B520" s="49">
        <v>919</v>
      </c>
      <c r="C520" s="1" t="s">
        <v>51</v>
      </c>
      <c r="D520" s="1" t="s">
        <v>16</v>
      </c>
      <c r="E520" s="1"/>
      <c r="F520" s="1"/>
      <c r="G520" s="2">
        <f t="shared" ref="G520:I521" si="62">G521</f>
        <v>175</v>
      </c>
      <c r="H520" s="2">
        <f t="shared" si="62"/>
        <v>175</v>
      </c>
      <c r="I520" s="2">
        <f t="shared" si="62"/>
        <v>175</v>
      </c>
      <c r="J520" s="29"/>
      <c r="K520" s="29"/>
      <c r="L520" s="29"/>
      <c r="M520" s="29"/>
      <c r="N520" s="29"/>
      <c r="O520" s="29"/>
    </row>
    <row r="521" spans="1:15" ht="63.75" x14ac:dyDescent="0.2">
      <c r="A521" s="18" t="s">
        <v>286</v>
      </c>
      <c r="B521" s="63">
        <v>919</v>
      </c>
      <c r="C521" s="19" t="s">
        <v>51</v>
      </c>
      <c r="D521" s="19" t="s">
        <v>16</v>
      </c>
      <c r="E521" s="19" t="s">
        <v>92</v>
      </c>
      <c r="F521" s="19"/>
      <c r="G521" s="20">
        <f t="shared" si="62"/>
        <v>175</v>
      </c>
      <c r="H521" s="20">
        <f t="shared" si="62"/>
        <v>175</v>
      </c>
      <c r="I521" s="20">
        <f t="shared" si="62"/>
        <v>175</v>
      </c>
    </row>
    <row r="522" spans="1:15" s="29" customFormat="1" x14ac:dyDescent="0.2">
      <c r="A522" s="31" t="s">
        <v>69</v>
      </c>
      <c r="B522" s="35">
        <v>919</v>
      </c>
      <c r="C522" s="27" t="s">
        <v>51</v>
      </c>
      <c r="D522" s="27" t="s">
        <v>16</v>
      </c>
      <c r="E522" s="19" t="s">
        <v>92</v>
      </c>
      <c r="F522" s="27" t="s">
        <v>70</v>
      </c>
      <c r="G522" s="28">
        <v>175</v>
      </c>
      <c r="H522" s="28">
        <v>175</v>
      </c>
      <c r="I522" s="28">
        <v>175</v>
      </c>
    </row>
    <row r="523" spans="1:15" s="9" customFormat="1" x14ac:dyDescent="0.2">
      <c r="A523" s="11" t="s">
        <v>57</v>
      </c>
      <c r="B523" s="14">
        <v>919</v>
      </c>
      <c r="C523" s="8" t="s">
        <v>51</v>
      </c>
      <c r="D523" s="8" t="s">
        <v>50</v>
      </c>
      <c r="E523" s="8"/>
      <c r="F523" s="8"/>
      <c r="G523" s="4">
        <f>G524+G526+G528</f>
        <v>3599.4999999999995</v>
      </c>
      <c r="H523" s="4">
        <f>H524+H526+H528</f>
        <v>3599.4999999999995</v>
      </c>
      <c r="I523" s="4">
        <f>I524+I526+I528</f>
        <v>3599.4999999999995</v>
      </c>
      <c r="J523" s="21"/>
      <c r="K523" s="21"/>
      <c r="L523" s="21"/>
      <c r="M523" s="21"/>
      <c r="N523" s="21"/>
      <c r="O523" s="21"/>
    </row>
    <row r="524" spans="1:15" x14ac:dyDescent="0.2">
      <c r="A524" s="18" t="s">
        <v>332</v>
      </c>
      <c r="B524" s="22">
        <v>919</v>
      </c>
      <c r="C524" s="19" t="s">
        <v>51</v>
      </c>
      <c r="D524" s="19" t="s">
        <v>50</v>
      </c>
      <c r="E524" s="19" t="s">
        <v>333</v>
      </c>
      <c r="F524" s="19"/>
      <c r="G524" s="20">
        <f>G525</f>
        <v>814.7</v>
      </c>
      <c r="H524" s="20">
        <f>H525</f>
        <v>814.7</v>
      </c>
      <c r="I524" s="20">
        <f>I525</f>
        <v>814.7</v>
      </c>
      <c r="N524" s="29"/>
      <c r="O524" s="29"/>
    </row>
    <row r="525" spans="1:15" s="29" customFormat="1" ht="14.25" x14ac:dyDescent="0.2">
      <c r="A525" s="31" t="s">
        <v>69</v>
      </c>
      <c r="B525" s="35">
        <v>919</v>
      </c>
      <c r="C525" s="27" t="s">
        <v>51</v>
      </c>
      <c r="D525" s="27" t="s">
        <v>50</v>
      </c>
      <c r="E525" s="27" t="s">
        <v>333</v>
      </c>
      <c r="F525" s="27" t="s">
        <v>70</v>
      </c>
      <c r="G525" s="28">
        <v>814.7</v>
      </c>
      <c r="H525" s="28">
        <v>814.7</v>
      </c>
      <c r="I525" s="28">
        <v>814.7</v>
      </c>
      <c r="J525" s="38"/>
      <c r="K525" s="38"/>
      <c r="L525" s="15"/>
      <c r="M525" s="15"/>
      <c r="N525" s="15"/>
      <c r="O525" s="15"/>
    </row>
    <row r="526" spans="1:15" ht="25.5" x14ac:dyDescent="0.2">
      <c r="A526" s="18" t="s">
        <v>335</v>
      </c>
      <c r="B526" s="18">
        <v>919</v>
      </c>
      <c r="C526" s="19" t="s">
        <v>51</v>
      </c>
      <c r="D526" s="19" t="s">
        <v>50</v>
      </c>
      <c r="E526" s="19" t="s">
        <v>334</v>
      </c>
      <c r="F526" s="19"/>
      <c r="G526" s="20">
        <f>G527</f>
        <v>2706.7</v>
      </c>
      <c r="H526" s="20">
        <f>H527</f>
        <v>2706.7</v>
      </c>
      <c r="I526" s="20">
        <f>I527</f>
        <v>2706.7</v>
      </c>
      <c r="J526" s="23"/>
      <c r="K526" s="23"/>
    </row>
    <row r="527" spans="1:15" s="29" customFormat="1" x14ac:dyDescent="0.2">
      <c r="A527" s="31" t="s">
        <v>69</v>
      </c>
      <c r="B527" s="31">
        <v>919</v>
      </c>
      <c r="C527" s="27" t="s">
        <v>51</v>
      </c>
      <c r="D527" s="27" t="s">
        <v>50</v>
      </c>
      <c r="E527" s="27" t="s">
        <v>334</v>
      </c>
      <c r="F527" s="27" t="s">
        <v>70</v>
      </c>
      <c r="G527" s="28">
        <v>2706.7</v>
      </c>
      <c r="H527" s="28">
        <v>2706.7</v>
      </c>
      <c r="I527" s="28">
        <v>2706.7</v>
      </c>
      <c r="J527" s="23"/>
      <c r="K527" s="23"/>
      <c r="L527" s="21"/>
      <c r="M527" s="21"/>
      <c r="N527" s="21"/>
      <c r="O527" s="21"/>
    </row>
    <row r="528" spans="1:15" ht="76.5" x14ac:dyDescent="0.2">
      <c r="A528" s="89" t="s">
        <v>337</v>
      </c>
      <c r="B528" s="69">
        <v>919</v>
      </c>
      <c r="C528" s="19" t="s">
        <v>51</v>
      </c>
      <c r="D528" s="19" t="s">
        <v>50</v>
      </c>
      <c r="E528" s="19" t="s">
        <v>336</v>
      </c>
      <c r="F528" s="19"/>
      <c r="G528" s="20">
        <f>G529</f>
        <v>78.099999999999994</v>
      </c>
      <c r="H528" s="20">
        <f>H529</f>
        <v>78.099999999999994</v>
      </c>
      <c r="I528" s="20">
        <f>I529</f>
        <v>78.099999999999994</v>
      </c>
    </row>
    <row r="529" spans="1:15" s="29" customFormat="1" x14ac:dyDescent="0.2">
      <c r="A529" s="75" t="s">
        <v>69</v>
      </c>
      <c r="B529" s="31">
        <v>919</v>
      </c>
      <c r="C529" s="27" t="s">
        <v>51</v>
      </c>
      <c r="D529" s="27" t="s">
        <v>50</v>
      </c>
      <c r="E529" s="27" t="s">
        <v>336</v>
      </c>
      <c r="F529" s="27" t="s">
        <v>70</v>
      </c>
      <c r="G529" s="28">
        <v>78.099999999999994</v>
      </c>
      <c r="H529" s="28">
        <v>78.099999999999994</v>
      </c>
      <c r="I529" s="28">
        <v>78.099999999999994</v>
      </c>
      <c r="J529" s="23"/>
      <c r="K529" s="23"/>
      <c r="L529" s="21"/>
      <c r="M529" s="21"/>
      <c r="N529" s="21"/>
      <c r="O529" s="21"/>
    </row>
    <row r="530" spans="1:15" s="15" customFormat="1" ht="14.25" customHeight="1" x14ac:dyDescent="0.25">
      <c r="A530" s="40" t="s">
        <v>58</v>
      </c>
      <c r="B530" s="52"/>
      <c r="C530" s="41"/>
      <c r="D530" s="41"/>
      <c r="E530" s="41"/>
      <c r="F530" s="41"/>
      <c r="G530" s="42">
        <f>G463+G352+G316+G208+G194+G185+G146+G117+G11</f>
        <v>2619531.4000000004</v>
      </c>
      <c r="H530" s="42">
        <f>H463+H352+H316+H208+H194+H185+H146+H117+H11</f>
        <v>2338074.6</v>
      </c>
      <c r="I530" s="42">
        <f>I463+I352+I316+I208+I194+I185+I146+I117+I11</f>
        <v>2308087.0999999996</v>
      </c>
      <c r="J530" s="23"/>
      <c r="K530" s="23"/>
      <c r="L530" s="21"/>
      <c r="M530" s="21"/>
      <c r="N530" s="21"/>
      <c r="O530" s="21"/>
    </row>
    <row r="531" spans="1:15" ht="24" hidden="1" customHeight="1" x14ac:dyDescent="0.2">
      <c r="G531" s="62">
        <f>2507048.4+199.3+58.4+4564-14.6+56300.9-116.6+39869+3062+7172.3+1388.3</f>
        <v>2619531.399999999</v>
      </c>
      <c r="H531" s="62">
        <f>2241776.2+3+150+58.4+4564-8.2+56300.9-132.2+22985+309.5+3062+7172.3+1833.7</f>
        <v>2338074.5999999996</v>
      </c>
      <c r="I531" s="62">
        <f>2211321.6+3+58.4+4564-175.9+56300.9-137.7+22969+659.2+3062+7172.3+2290.3</f>
        <v>2308087.0999999996</v>
      </c>
      <c r="J531" s="23"/>
      <c r="K531" s="23"/>
    </row>
    <row r="532" spans="1:15" hidden="1" x14ac:dyDescent="0.2">
      <c r="F532" s="37" t="s">
        <v>377</v>
      </c>
      <c r="G532" s="62">
        <f>1260982.3+221327.9</f>
        <v>1482310.2</v>
      </c>
      <c r="H532" s="62">
        <f>1261442.1+214857.1</f>
        <v>1476299.2000000002</v>
      </c>
      <c r="I532" s="62">
        <f>1267381+149488.5</f>
        <v>1416869.5</v>
      </c>
      <c r="J532" s="23"/>
      <c r="K532" s="23"/>
    </row>
    <row r="533" spans="1:15" hidden="1" x14ac:dyDescent="0.2">
      <c r="G533" s="62"/>
      <c r="H533" s="62"/>
      <c r="I533" s="62"/>
      <c r="J533" s="23"/>
      <c r="K533" s="23"/>
    </row>
    <row r="534" spans="1:15" ht="25.5" hidden="1" x14ac:dyDescent="0.2">
      <c r="F534" s="37" t="s">
        <v>376</v>
      </c>
      <c r="G534" s="62">
        <v>6045.2</v>
      </c>
      <c r="H534" s="80">
        <f>5328.1+31</f>
        <v>5359.1</v>
      </c>
      <c r="I534" s="80">
        <f>5328.1+31</f>
        <v>5359.1</v>
      </c>
      <c r="J534" s="23"/>
      <c r="K534" s="23"/>
    </row>
    <row r="535" spans="1:15" hidden="1" x14ac:dyDescent="0.2">
      <c r="F535" s="37" t="s">
        <v>378</v>
      </c>
      <c r="G535" s="62">
        <v>1018693</v>
      </c>
      <c r="H535" s="62">
        <v>760117.9</v>
      </c>
      <c r="I535" s="62">
        <v>789093</v>
      </c>
      <c r="J535" s="23"/>
      <c r="K535" s="23"/>
    </row>
    <row r="536" spans="1:15" hidden="1" x14ac:dyDescent="0.2">
      <c r="G536" s="62">
        <f>SUM(G532,G534,G535)</f>
        <v>2507048.4</v>
      </c>
      <c r="H536" s="62">
        <f>SUM(H532,H534,H535)</f>
        <v>2241776.2000000002</v>
      </c>
      <c r="I536" s="62">
        <f>SUM(I532,I534,I535)</f>
        <v>2211321.6</v>
      </c>
      <c r="J536" s="23"/>
      <c r="K536" s="23"/>
    </row>
    <row r="537" spans="1:15" hidden="1" x14ac:dyDescent="0.2">
      <c r="G537" s="62">
        <f>G531-G530</f>
        <v>0</v>
      </c>
      <c r="H537" s="62">
        <f t="shared" ref="H537:I537" si="63">H531-H530</f>
        <v>0</v>
      </c>
      <c r="I537" s="62">
        <f t="shared" si="63"/>
        <v>0</v>
      </c>
      <c r="J537" s="23"/>
      <c r="K537" s="23"/>
    </row>
    <row r="538" spans="1:15" ht="24" customHeight="1" x14ac:dyDescent="0.2">
      <c r="A538" s="39" t="s">
        <v>64</v>
      </c>
      <c r="B538" s="37"/>
      <c r="F538" s="62"/>
      <c r="G538" s="67"/>
      <c r="H538" s="67"/>
      <c r="I538" s="71" t="s">
        <v>80</v>
      </c>
      <c r="J538" s="23"/>
      <c r="K538" s="23"/>
    </row>
    <row r="539" spans="1:15" x14ac:dyDescent="0.2">
      <c r="J539" s="23"/>
      <c r="K539" s="23"/>
    </row>
    <row r="540" spans="1:15" x14ac:dyDescent="0.2">
      <c r="E540" s="37" t="s">
        <v>6</v>
      </c>
      <c r="J540" s="23"/>
      <c r="K540" s="23"/>
    </row>
    <row r="541" spans="1:15" x14ac:dyDescent="0.2">
      <c r="G541" s="62"/>
      <c r="H541" s="62"/>
      <c r="I541" s="62"/>
    </row>
    <row r="542" spans="1:15" x14ac:dyDescent="0.2">
      <c r="G542" s="62"/>
      <c r="H542" s="62"/>
      <c r="I542" s="62"/>
    </row>
    <row r="544" spans="1:15" x14ac:dyDescent="0.2">
      <c r="G544" s="62"/>
      <c r="H544" s="62"/>
      <c r="I544" s="62"/>
    </row>
    <row r="545" spans="3:9" x14ac:dyDescent="0.2">
      <c r="C545" s="21"/>
      <c r="D545" s="21"/>
      <c r="E545" s="21"/>
      <c r="F545" s="21"/>
      <c r="G545" s="21"/>
      <c r="H545" s="21"/>
      <c r="I545" s="21"/>
    </row>
    <row r="546" spans="3:9" x14ac:dyDescent="0.2">
      <c r="C546" s="21"/>
      <c r="D546" s="21"/>
      <c r="E546" s="21"/>
      <c r="F546" s="21"/>
      <c r="G546" s="21"/>
      <c r="H546" s="21"/>
      <c r="I546" s="21"/>
    </row>
    <row r="547" spans="3:9" x14ac:dyDescent="0.2">
      <c r="C547" s="21"/>
      <c r="D547" s="21"/>
      <c r="E547" s="21"/>
      <c r="F547" s="21"/>
      <c r="G547" s="21"/>
      <c r="H547" s="21"/>
      <c r="I547" s="21"/>
    </row>
    <row r="548" spans="3:9" x14ac:dyDescent="0.2">
      <c r="C548" s="21"/>
      <c r="D548" s="21"/>
      <c r="E548" s="21"/>
      <c r="F548" s="21"/>
      <c r="G548" s="21"/>
      <c r="H548" s="21"/>
      <c r="I548" s="21"/>
    </row>
  </sheetData>
  <mergeCells count="15">
    <mergeCell ref="A7:G7"/>
    <mergeCell ref="A1:I1"/>
    <mergeCell ref="A2:I2"/>
    <mergeCell ref="A3:I3"/>
    <mergeCell ref="A5:I5"/>
    <mergeCell ref="A6:I6"/>
    <mergeCell ref="G8:G9"/>
    <mergeCell ref="H8:H9"/>
    <mergeCell ref="I8:I9"/>
    <mergeCell ref="A8:A9"/>
    <mergeCell ref="B8:B9"/>
    <mergeCell ref="C8:C9"/>
    <mergeCell ref="D8:D9"/>
    <mergeCell ref="E8:E9"/>
    <mergeCell ref="F8:F9"/>
  </mergeCells>
  <pageMargins left="0.78740157480314965" right="0.39370078740157483" top="0.59055118110236227" bottom="0.94488188976377963" header="0.31496062992125984" footer="0.31496062992125984"/>
  <pageSetup paperSize="9" scale="64" fitToHeight="32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7"/>
  <sheetViews>
    <sheetView topLeftCell="A515" workbookViewId="0">
      <selection activeCell="E505" sqref="E505"/>
    </sheetView>
  </sheetViews>
  <sheetFormatPr defaultColWidth="9.140625" defaultRowHeight="12.75" x14ac:dyDescent="0.2"/>
  <cols>
    <col min="1" max="1" width="53.5703125" style="21" customWidth="1"/>
    <col min="2" max="2" width="6.28515625" style="21" customWidth="1"/>
    <col min="3" max="3" width="4.85546875" style="37" customWidth="1"/>
    <col min="4" max="4" width="6.140625" style="37" customWidth="1"/>
    <col min="5" max="5" width="15.42578125" style="37" customWidth="1"/>
    <col min="6" max="6" width="5.85546875" style="37" customWidth="1"/>
    <col min="7" max="7" width="21.5703125" style="37" customWidth="1"/>
    <col min="8" max="9" width="14.28515625" style="37" customWidth="1"/>
    <col min="10" max="10" width="55.85546875" style="21" customWidth="1"/>
    <col min="11" max="11" width="10.28515625" style="21" customWidth="1"/>
    <col min="12" max="12" width="10.42578125" style="21" customWidth="1"/>
    <col min="13" max="14" width="9.140625" style="21" customWidth="1"/>
    <col min="15" max="16384" width="9.140625" style="21"/>
  </cols>
  <sheetData>
    <row r="1" spans="1:11" ht="15.75" x14ac:dyDescent="0.25">
      <c r="A1" s="130" t="s">
        <v>413</v>
      </c>
      <c r="B1" s="130"/>
      <c r="C1" s="130"/>
      <c r="D1" s="130"/>
      <c r="E1" s="130"/>
      <c r="F1" s="130"/>
      <c r="G1" s="130"/>
      <c r="H1" s="130"/>
      <c r="I1" s="130"/>
    </row>
    <row r="2" spans="1:11" ht="15.75" x14ac:dyDescent="0.25">
      <c r="A2" s="130" t="s">
        <v>78</v>
      </c>
      <c r="B2" s="130"/>
      <c r="C2" s="130"/>
      <c r="D2" s="130"/>
      <c r="E2" s="130"/>
      <c r="F2" s="130"/>
      <c r="G2" s="130"/>
      <c r="H2" s="130"/>
      <c r="I2" s="130"/>
    </row>
    <row r="3" spans="1:11" ht="15.75" x14ac:dyDescent="0.25">
      <c r="A3" s="130" t="s">
        <v>411</v>
      </c>
      <c r="B3" s="130"/>
      <c r="C3" s="130"/>
      <c r="D3" s="130"/>
      <c r="E3" s="130"/>
      <c r="F3" s="130"/>
      <c r="G3" s="130"/>
      <c r="H3" s="130"/>
      <c r="I3" s="130"/>
    </row>
    <row r="5" spans="1:11" ht="12.75" customHeight="1" x14ac:dyDescent="0.2">
      <c r="A5" s="133" t="s">
        <v>85</v>
      </c>
      <c r="B5" s="133"/>
      <c r="C5" s="133"/>
      <c r="D5" s="133"/>
      <c r="E5" s="133"/>
      <c r="F5" s="133"/>
      <c r="G5" s="133"/>
      <c r="H5" s="133"/>
      <c r="I5" s="133"/>
    </row>
    <row r="6" spans="1:11" ht="12.75" customHeight="1" x14ac:dyDescent="0.2">
      <c r="A6" s="133" t="s">
        <v>78</v>
      </c>
      <c r="B6" s="133"/>
      <c r="C6" s="133"/>
      <c r="D6" s="133"/>
      <c r="E6" s="133"/>
      <c r="F6" s="133"/>
      <c r="G6" s="133"/>
      <c r="H6" s="133"/>
      <c r="I6" s="133"/>
    </row>
    <row r="7" spans="1:11" ht="12.75" customHeight="1" x14ac:dyDescent="0.2">
      <c r="A7" s="133" t="s">
        <v>412</v>
      </c>
      <c r="B7" s="133"/>
      <c r="C7" s="133"/>
      <c r="D7" s="133"/>
      <c r="E7" s="133"/>
      <c r="F7" s="133"/>
      <c r="G7" s="133"/>
      <c r="H7" s="133"/>
      <c r="I7" s="133"/>
    </row>
    <row r="8" spans="1:11" ht="12.75" customHeight="1" x14ac:dyDescent="0.2">
      <c r="I8" s="70"/>
    </row>
    <row r="9" spans="1:11" s="24" customFormat="1" ht="18.75" x14ac:dyDescent="0.3">
      <c r="A9" s="131" t="s">
        <v>84</v>
      </c>
      <c r="B9" s="131"/>
      <c r="C9" s="131"/>
      <c r="D9" s="131"/>
      <c r="E9" s="131"/>
      <c r="F9" s="131"/>
      <c r="G9" s="131"/>
      <c r="H9" s="131"/>
      <c r="I9" s="131"/>
    </row>
    <row r="10" spans="1:11" s="24" customFormat="1" ht="18.75" x14ac:dyDescent="0.3">
      <c r="A10" s="132" t="s">
        <v>380</v>
      </c>
      <c r="B10" s="132"/>
      <c r="C10" s="132"/>
      <c r="D10" s="132"/>
      <c r="E10" s="132"/>
      <c r="F10" s="132"/>
      <c r="G10" s="132"/>
      <c r="H10" s="132"/>
      <c r="I10" s="132"/>
    </row>
    <row r="11" spans="1:11" s="25" customFormat="1" ht="13.5" thickBot="1" x14ac:dyDescent="0.25">
      <c r="A11" s="129"/>
      <c r="B11" s="129"/>
      <c r="C11" s="129"/>
      <c r="D11" s="129"/>
      <c r="E11" s="129"/>
      <c r="F11" s="129"/>
      <c r="G11" s="129"/>
      <c r="I11" s="118" t="s">
        <v>62</v>
      </c>
    </row>
    <row r="12" spans="1:11" ht="13.5" customHeight="1" x14ac:dyDescent="0.2">
      <c r="A12" s="125"/>
      <c r="B12" s="127" t="s">
        <v>59</v>
      </c>
      <c r="C12" s="127" t="s">
        <v>8</v>
      </c>
      <c r="D12" s="127" t="s">
        <v>9</v>
      </c>
      <c r="E12" s="127" t="s">
        <v>10</v>
      </c>
      <c r="F12" s="127" t="s">
        <v>11</v>
      </c>
      <c r="G12" s="123" t="s">
        <v>142</v>
      </c>
      <c r="H12" s="123" t="s">
        <v>143</v>
      </c>
      <c r="I12" s="123" t="s">
        <v>379</v>
      </c>
    </row>
    <row r="13" spans="1:11" x14ac:dyDescent="0.2">
      <c r="A13" s="126"/>
      <c r="B13" s="128"/>
      <c r="C13" s="128"/>
      <c r="D13" s="128"/>
      <c r="E13" s="128"/>
      <c r="F13" s="128"/>
      <c r="G13" s="124"/>
      <c r="H13" s="124"/>
      <c r="I13" s="124"/>
    </row>
    <row r="14" spans="1:11" s="85" customFormat="1" ht="12" x14ac:dyDescent="0.2">
      <c r="A14" s="83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4">
        <v>7</v>
      </c>
      <c r="H14" s="84">
        <v>8</v>
      </c>
      <c r="I14" s="84">
        <v>9</v>
      </c>
    </row>
    <row r="15" spans="1:11" s="10" customFormat="1" ht="25.5" x14ac:dyDescent="0.2">
      <c r="A15" s="43" t="s">
        <v>45</v>
      </c>
      <c r="B15" s="44">
        <v>900</v>
      </c>
      <c r="C15" s="45"/>
      <c r="D15" s="45"/>
      <c r="E15" s="45"/>
      <c r="F15" s="55"/>
      <c r="G15" s="46">
        <f>G16+G63+G81+G98+G103+G126+G75+G130</f>
        <v>397510.61085000006</v>
      </c>
      <c r="H15" s="46">
        <f>H16+H63+H81+H98+H103+H126+H75+H130</f>
        <v>335954.10000000003</v>
      </c>
      <c r="I15" s="46">
        <f>I16+I63+I81+I98+I103+I126+I75+I130</f>
        <v>320918</v>
      </c>
      <c r="J15" s="72"/>
      <c r="K15" s="114"/>
    </row>
    <row r="16" spans="1:11" s="60" customFormat="1" x14ac:dyDescent="0.2">
      <c r="A16" s="57" t="s">
        <v>60</v>
      </c>
      <c r="B16" s="49">
        <v>900</v>
      </c>
      <c r="C16" s="1" t="s">
        <v>12</v>
      </c>
      <c r="D16" s="58"/>
      <c r="E16" s="58"/>
      <c r="F16" s="59"/>
      <c r="G16" s="2">
        <f>G17+G21+G41+G38+G35</f>
        <v>118325.30000000003</v>
      </c>
      <c r="H16" s="2">
        <f t="shared" ref="H16:I16" si="0">H17+H21+H41+H38+H35</f>
        <v>85535.1</v>
      </c>
      <c r="I16" s="2">
        <f t="shared" si="0"/>
        <v>85535.1</v>
      </c>
      <c r="K16" s="116"/>
    </row>
    <row r="17" spans="1:13" s="9" customFormat="1" ht="38.25" x14ac:dyDescent="0.2">
      <c r="A17" s="11" t="s">
        <v>13</v>
      </c>
      <c r="B17" s="14">
        <v>900</v>
      </c>
      <c r="C17" s="8" t="s">
        <v>12</v>
      </c>
      <c r="D17" s="8" t="s">
        <v>14</v>
      </c>
      <c r="E17" s="8"/>
      <c r="F17" s="8"/>
      <c r="G17" s="4">
        <f t="shared" ref="G17:I17" si="1">G18</f>
        <v>1846.6</v>
      </c>
      <c r="H17" s="4">
        <f t="shared" si="1"/>
        <v>1527</v>
      </c>
      <c r="I17" s="4">
        <f t="shared" si="1"/>
        <v>1527</v>
      </c>
      <c r="K17" s="116"/>
    </row>
    <row r="18" spans="1:13" ht="25.5" x14ac:dyDescent="0.2">
      <c r="A18" s="18" t="s">
        <v>354</v>
      </c>
      <c r="B18" s="22">
        <v>900</v>
      </c>
      <c r="C18" s="19" t="s">
        <v>12</v>
      </c>
      <c r="D18" s="19" t="s">
        <v>14</v>
      </c>
      <c r="E18" s="19" t="s">
        <v>145</v>
      </c>
      <c r="F18" s="19"/>
      <c r="G18" s="20">
        <f>G20+G19</f>
        <v>1846.6</v>
      </c>
      <c r="H18" s="20">
        <f t="shared" ref="H18:I18" si="2">H20+H19</f>
        <v>1527</v>
      </c>
      <c r="I18" s="20">
        <f t="shared" si="2"/>
        <v>1527</v>
      </c>
      <c r="K18" s="116"/>
    </row>
    <row r="19" spans="1:13" s="29" customFormat="1" ht="51.75" customHeight="1" x14ac:dyDescent="0.2">
      <c r="A19" s="34" t="s">
        <v>66</v>
      </c>
      <c r="B19" s="36">
        <v>900</v>
      </c>
      <c r="C19" s="27" t="s">
        <v>12</v>
      </c>
      <c r="D19" s="27" t="s">
        <v>14</v>
      </c>
      <c r="E19" s="27" t="s">
        <v>145</v>
      </c>
      <c r="F19" s="30" t="s">
        <v>67</v>
      </c>
      <c r="G19" s="28">
        <f>1132.8+50+342.1+2.1+25+25+184.6+35</f>
        <v>1796.6</v>
      </c>
      <c r="H19" s="28">
        <f>1132.8+50+342.1+2.1</f>
        <v>1527</v>
      </c>
      <c r="I19" s="28">
        <f>1132.8+50+342.1+2.1</f>
        <v>1527</v>
      </c>
      <c r="K19" s="116"/>
    </row>
    <row r="20" spans="1:13" s="29" customFormat="1" ht="25.5" x14ac:dyDescent="0.2">
      <c r="A20" s="26" t="s">
        <v>137</v>
      </c>
      <c r="B20" s="36">
        <v>900</v>
      </c>
      <c r="C20" s="27" t="s">
        <v>12</v>
      </c>
      <c r="D20" s="27" t="s">
        <v>14</v>
      </c>
      <c r="E20" s="27" t="s">
        <v>145</v>
      </c>
      <c r="F20" s="30" t="s">
        <v>68</v>
      </c>
      <c r="G20" s="28">
        <f>75-25</f>
        <v>50</v>
      </c>
      <c r="H20" s="28">
        <v>0</v>
      </c>
      <c r="I20" s="28">
        <v>0</v>
      </c>
      <c r="K20" s="114"/>
    </row>
    <row r="21" spans="1:13" s="9" customFormat="1" ht="51" x14ac:dyDescent="0.2">
      <c r="A21" s="11" t="s">
        <v>17</v>
      </c>
      <c r="B21" s="14">
        <v>900</v>
      </c>
      <c r="C21" s="8" t="s">
        <v>12</v>
      </c>
      <c r="D21" s="8" t="s">
        <v>18</v>
      </c>
      <c r="E21" s="8"/>
      <c r="F21" s="8"/>
      <c r="G21" s="4">
        <f>G22+G25+G28+G32</f>
        <v>60068.900000000009</v>
      </c>
      <c r="H21" s="4">
        <f>H22+H25+H28+H32</f>
        <v>48184.500000000007</v>
      </c>
      <c r="I21" s="4">
        <f>I22+I25+I28+I32</f>
        <v>48184.500000000007</v>
      </c>
      <c r="K21" s="116"/>
    </row>
    <row r="22" spans="1:13" ht="25.5" x14ac:dyDescent="0.2">
      <c r="A22" s="18" t="s">
        <v>146</v>
      </c>
      <c r="B22" s="22">
        <v>900</v>
      </c>
      <c r="C22" s="19" t="s">
        <v>12</v>
      </c>
      <c r="D22" s="19" t="s">
        <v>18</v>
      </c>
      <c r="E22" s="19" t="s">
        <v>89</v>
      </c>
      <c r="F22" s="19"/>
      <c r="G22" s="20">
        <f>G23+G24</f>
        <v>386.9</v>
      </c>
      <c r="H22" s="20">
        <f>H23+H24</f>
        <v>347</v>
      </c>
      <c r="I22" s="20">
        <f>I23+I24</f>
        <v>347</v>
      </c>
      <c r="K22" s="116"/>
    </row>
    <row r="23" spans="1:13" s="29" customFormat="1" ht="52.5" customHeight="1" x14ac:dyDescent="0.2">
      <c r="A23" s="26" t="s">
        <v>66</v>
      </c>
      <c r="B23" s="35">
        <v>900</v>
      </c>
      <c r="C23" s="27" t="s">
        <v>12</v>
      </c>
      <c r="D23" s="27" t="s">
        <v>18</v>
      </c>
      <c r="E23" s="27" t="s">
        <v>89</v>
      </c>
      <c r="F23" s="30" t="s">
        <v>67</v>
      </c>
      <c r="G23" s="28">
        <f>242.6+73.3+3+39.9</f>
        <v>358.79999999999995</v>
      </c>
      <c r="H23" s="28">
        <f>242.6+73.3+3</f>
        <v>318.89999999999998</v>
      </c>
      <c r="I23" s="28">
        <f>242.6+73.3+3</f>
        <v>318.89999999999998</v>
      </c>
      <c r="J23" s="21"/>
      <c r="K23" s="116"/>
      <c r="L23" s="21"/>
      <c r="M23" s="21"/>
    </row>
    <row r="24" spans="1:13" s="29" customFormat="1" ht="25.5" x14ac:dyDescent="0.2">
      <c r="A24" s="26" t="s">
        <v>137</v>
      </c>
      <c r="B24" s="35">
        <v>900</v>
      </c>
      <c r="C24" s="27" t="s">
        <v>12</v>
      </c>
      <c r="D24" s="27" t="s">
        <v>18</v>
      </c>
      <c r="E24" s="27" t="s">
        <v>89</v>
      </c>
      <c r="F24" s="30" t="s">
        <v>68</v>
      </c>
      <c r="G24" s="28">
        <f>13+15.1</f>
        <v>28.1</v>
      </c>
      <c r="H24" s="28">
        <f>13+15.1</f>
        <v>28.1</v>
      </c>
      <c r="I24" s="28">
        <f>13+15.1</f>
        <v>28.1</v>
      </c>
      <c r="J24" s="21"/>
      <c r="K24" s="114"/>
      <c r="L24" s="21"/>
      <c r="M24" s="21"/>
    </row>
    <row r="25" spans="1:13" ht="15" customHeight="1" x14ac:dyDescent="0.2">
      <c r="A25" s="18" t="s">
        <v>147</v>
      </c>
      <c r="B25" s="22">
        <v>900</v>
      </c>
      <c r="C25" s="19" t="s">
        <v>12</v>
      </c>
      <c r="D25" s="19" t="s">
        <v>18</v>
      </c>
      <c r="E25" s="19" t="s">
        <v>88</v>
      </c>
      <c r="F25" s="19"/>
      <c r="G25" s="20">
        <f>G26+G27</f>
        <v>115</v>
      </c>
      <c r="H25" s="20">
        <f t="shared" ref="H25:I25" si="3">H26+H27</f>
        <v>115</v>
      </c>
      <c r="I25" s="20">
        <f t="shared" si="3"/>
        <v>115</v>
      </c>
      <c r="K25" s="114"/>
    </row>
    <row r="26" spans="1:13" s="29" customFormat="1" ht="51.75" customHeight="1" x14ac:dyDescent="0.2">
      <c r="A26" s="26" t="s">
        <v>66</v>
      </c>
      <c r="B26" s="35">
        <v>900</v>
      </c>
      <c r="C26" s="27" t="s">
        <v>12</v>
      </c>
      <c r="D26" s="27" t="s">
        <v>18</v>
      </c>
      <c r="E26" s="27" t="s">
        <v>88</v>
      </c>
      <c r="F26" s="30" t="s">
        <v>67</v>
      </c>
      <c r="G26" s="28">
        <f>82.7+25</f>
        <v>107.7</v>
      </c>
      <c r="H26" s="28">
        <v>107.7</v>
      </c>
      <c r="I26" s="28">
        <v>107.7</v>
      </c>
      <c r="J26" s="21"/>
      <c r="K26" s="114"/>
      <c r="L26" s="21"/>
      <c r="M26" s="21"/>
    </row>
    <row r="27" spans="1:13" s="29" customFormat="1" ht="25.5" x14ac:dyDescent="0.2">
      <c r="A27" s="26" t="s">
        <v>137</v>
      </c>
      <c r="B27" s="35">
        <v>900</v>
      </c>
      <c r="C27" s="27" t="s">
        <v>12</v>
      </c>
      <c r="D27" s="27" t="s">
        <v>18</v>
      </c>
      <c r="E27" s="27" t="s">
        <v>88</v>
      </c>
      <c r="F27" s="30" t="s">
        <v>68</v>
      </c>
      <c r="G27" s="28">
        <v>7.3</v>
      </c>
      <c r="H27" s="28">
        <v>7.3</v>
      </c>
      <c r="I27" s="28">
        <v>7.3</v>
      </c>
      <c r="J27" s="21"/>
      <c r="K27" s="114"/>
      <c r="L27" s="21"/>
      <c r="M27" s="21"/>
    </row>
    <row r="28" spans="1:13" ht="25.5" x14ac:dyDescent="0.2">
      <c r="A28" s="18" t="s">
        <v>354</v>
      </c>
      <c r="B28" s="22">
        <v>900</v>
      </c>
      <c r="C28" s="19" t="s">
        <v>12</v>
      </c>
      <c r="D28" s="19" t="s">
        <v>18</v>
      </c>
      <c r="E28" s="19" t="s">
        <v>148</v>
      </c>
      <c r="F28" s="19"/>
      <c r="G28" s="20">
        <f>G29+G30+G31</f>
        <v>54408.400000000009</v>
      </c>
      <c r="H28" s="20">
        <f>H29+H30+H31</f>
        <v>44448.400000000009</v>
      </c>
      <c r="I28" s="20">
        <f>I29+I30+I31</f>
        <v>44448.400000000009</v>
      </c>
      <c r="K28" s="116"/>
    </row>
    <row r="29" spans="1:13" s="29" customFormat="1" ht="51" customHeight="1" x14ac:dyDescent="0.2">
      <c r="A29" s="34" t="s">
        <v>66</v>
      </c>
      <c r="B29" s="36">
        <v>900</v>
      </c>
      <c r="C29" s="27" t="s">
        <v>12</v>
      </c>
      <c r="D29" s="27" t="s">
        <v>18</v>
      </c>
      <c r="E29" s="27" t="s">
        <v>148</v>
      </c>
      <c r="F29" s="30" t="s">
        <v>67</v>
      </c>
      <c r="G29" s="28">
        <f>24727.4+7467.7+70+321.6+30+4064.6+55-3</f>
        <v>36733.300000000003</v>
      </c>
      <c r="H29" s="28">
        <f>24727.4+7467.7+70+321.6</f>
        <v>32586.7</v>
      </c>
      <c r="I29" s="28">
        <f>24727.4+7467.7+70+321.6</f>
        <v>32586.7</v>
      </c>
      <c r="K29" s="116"/>
    </row>
    <row r="30" spans="1:13" s="29" customFormat="1" ht="25.5" x14ac:dyDescent="0.2">
      <c r="A30" s="31" t="s">
        <v>76</v>
      </c>
      <c r="B30" s="36">
        <v>900</v>
      </c>
      <c r="C30" s="27" t="s">
        <v>12</v>
      </c>
      <c r="D30" s="27" t="s">
        <v>18</v>
      </c>
      <c r="E30" s="27" t="s">
        <v>148</v>
      </c>
      <c r="F30" s="30" t="s">
        <v>68</v>
      </c>
      <c r="G30" s="28">
        <f>800+980.8+300+100+50+30+2191.3+50+20+4+300+2752+8000+3409.3+10+100+500-75+250-55.1-101.2-5600-25+1794.9+3+1616.8</f>
        <v>17405.800000000003</v>
      </c>
      <c r="H30" s="28">
        <f>800+980.8+300+100+50+30+2191.3+50+20+4+300+2752+3409.3+10+100+500</f>
        <v>11597.400000000001</v>
      </c>
      <c r="I30" s="28">
        <f>800+980.8+300+100+50+30+2191.3+50+20+4+300+2752+3409.3+10+100+500</f>
        <v>11597.400000000001</v>
      </c>
      <c r="K30" s="116"/>
    </row>
    <row r="31" spans="1:13" s="29" customFormat="1" x14ac:dyDescent="0.2">
      <c r="A31" s="31" t="s">
        <v>72</v>
      </c>
      <c r="B31" s="35">
        <v>900</v>
      </c>
      <c r="C31" s="27" t="s">
        <v>12</v>
      </c>
      <c r="D31" s="27" t="s">
        <v>18</v>
      </c>
      <c r="E31" s="27" t="s">
        <v>148</v>
      </c>
      <c r="F31" s="27" t="s">
        <v>73</v>
      </c>
      <c r="G31" s="28">
        <f>10+154.3+50+50+5</f>
        <v>269.3</v>
      </c>
      <c r="H31" s="28">
        <f>10+154.3+50+50</f>
        <v>264.3</v>
      </c>
      <c r="I31" s="28">
        <f>10+154.3+50+50</f>
        <v>264.3</v>
      </c>
      <c r="K31" s="114"/>
    </row>
    <row r="32" spans="1:13" ht="25.5" x14ac:dyDescent="0.2">
      <c r="A32" s="18" t="s">
        <v>354</v>
      </c>
      <c r="B32" s="22">
        <v>900</v>
      </c>
      <c r="C32" s="19" t="s">
        <v>12</v>
      </c>
      <c r="D32" s="19" t="s">
        <v>18</v>
      </c>
      <c r="E32" s="19" t="s">
        <v>149</v>
      </c>
      <c r="F32" s="19"/>
      <c r="G32" s="20">
        <f>G33+G34</f>
        <v>5158.6000000000004</v>
      </c>
      <c r="H32" s="20">
        <f>H33+H34</f>
        <v>3274.1</v>
      </c>
      <c r="I32" s="20">
        <f>I33+I34</f>
        <v>3274.1</v>
      </c>
      <c r="K32" s="116"/>
    </row>
    <row r="33" spans="1:15" s="29" customFormat="1" ht="52.5" customHeight="1" x14ac:dyDescent="0.2">
      <c r="A33" s="34" t="s">
        <v>66</v>
      </c>
      <c r="B33" s="36">
        <v>900</v>
      </c>
      <c r="C33" s="27" t="s">
        <v>12</v>
      </c>
      <c r="D33" s="27" t="s">
        <v>18</v>
      </c>
      <c r="E33" s="19" t="s">
        <v>149</v>
      </c>
      <c r="F33" s="30" t="s">
        <v>67</v>
      </c>
      <c r="G33" s="28">
        <f>2378.7+718.4+29.8+1827.4</f>
        <v>4954.3</v>
      </c>
      <c r="H33" s="28">
        <f>2378.7+718.4+29.8</f>
        <v>3126.9</v>
      </c>
      <c r="I33" s="28">
        <f>2378.7+718.4+29.8</f>
        <v>3126.9</v>
      </c>
      <c r="K33" s="116"/>
    </row>
    <row r="34" spans="1:15" s="29" customFormat="1" ht="25.5" x14ac:dyDescent="0.2">
      <c r="A34" s="31" t="s">
        <v>76</v>
      </c>
      <c r="B34" s="36">
        <v>900</v>
      </c>
      <c r="C34" s="27" t="s">
        <v>12</v>
      </c>
      <c r="D34" s="27" t="s">
        <v>18</v>
      </c>
      <c r="E34" s="19" t="s">
        <v>149</v>
      </c>
      <c r="F34" s="30" t="s">
        <v>68</v>
      </c>
      <c r="G34" s="28">
        <f>20+5+1+10+111.2+0.1+20+37</f>
        <v>204.29999999999998</v>
      </c>
      <c r="H34" s="28">
        <f>20+5+1+10+111.2</f>
        <v>147.19999999999999</v>
      </c>
      <c r="I34" s="28">
        <f>20+5+1+10+111.2</f>
        <v>147.19999999999999</v>
      </c>
      <c r="K34" s="116"/>
    </row>
    <row r="35" spans="1:15" s="9" customFormat="1" x14ac:dyDescent="0.2">
      <c r="A35" s="11" t="s">
        <v>385</v>
      </c>
      <c r="B35" s="14">
        <v>900</v>
      </c>
      <c r="C35" s="8" t="s">
        <v>12</v>
      </c>
      <c r="D35" s="8" t="s">
        <v>31</v>
      </c>
      <c r="E35" s="8"/>
      <c r="F35" s="8"/>
      <c r="G35" s="4">
        <f>G36</f>
        <v>196.3</v>
      </c>
      <c r="H35" s="4">
        <f t="shared" ref="H35:I36" si="4">H36</f>
        <v>0</v>
      </c>
      <c r="I35" s="4">
        <f t="shared" si="4"/>
        <v>0</v>
      </c>
      <c r="K35" s="114"/>
    </row>
    <row r="36" spans="1:15" ht="38.25" customHeight="1" x14ac:dyDescent="0.2">
      <c r="A36" s="18" t="s">
        <v>386</v>
      </c>
      <c r="B36" s="22">
        <v>900</v>
      </c>
      <c r="C36" s="19" t="s">
        <v>383</v>
      </c>
      <c r="D36" s="19" t="s">
        <v>397</v>
      </c>
      <c r="E36" s="19" t="s">
        <v>387</v>
      </c>
      <c r="F36" s="19"/>
      <c r="G36" s="20">
        <f>G37</f>
        <v>196.3</v>
      </c>
      <c r="H36" s="20">
        <f t="shared" si="4"/>
        <v>0</v>
      </c>
      <c r="I36" s="20">
        <f t="shared" si="4"/>
        <v>0</v>
      </c>
      <c r="K36" s="114"/>
    </row>
    <row r="37" spans="1:15" s="29" customFormat="1" ht="25.5" x14ac:dyDescent="0.2">
      <c r="A37" s="26" t="s">
        <v>137</v>
      </c>
      <c r="B37" s="35">
        <v>900</v>
      </c>
      <c r="C37" s="27" t="s">
        <v>383</v>
      </c>
      <c r="D37" s="27" t="s">
        <v>397</v>
      </c>
      <c r="E37" s="19" t="s">
        <v>387</v>
      </c>
      <c r="F37" s="30" t="s">
        <v>68</v>
      </c>
      <c r="G37" s="28">
        <v>196.3</v>
      </c>
      <c r="H37" s="28">
        <v>0</v>
      </c>
      <c r="I37" s="28">
        <v>0</v>
      </c>
      <c r="J37" s="21"/>
      <c r="K37" s="114"/>
      <c r="L37" s="21"/>
      <c r="M37" s="21"/>
    </row>
    <row r="38" spans="1:15" s="9" customFormat="1" x14ac:dyDescent="0.2">
      <c r="A38" s="11" t="s">
        <v>22</v>
      </c>
      <c r="B38" s="14">
        <v>900</v>
      </c>
      <c r="C38" s="8" t="s">
        <v>12</v>
      </c>
      <c r="D38" s="8" t="s">
        <v>21</v>
      </c>
      <c r="E38" s="8"/>
      <c r="F38" s="8"/>
      <c r="G38" s="4">
        <f t="shared" ref="G38:I39" si="5">G39</f>
        <v>1204.0999999999999</v>
      </c>
      <c r="H38" s="4">
        <f t="shared" si="5"/>
        <v>1204.0999999999999</v>
      </c>
      <c r="I38" s="4">
        <f t="shared" si="5"/>
        <v>1204.0999999999999</v>
      </c>
      <c r="J38" s="29"/>
      <c r="K38" s="114"/>
      <c r="L38" s="29"/>
      <c r="M38" s="29"/>
      <c r="N38" s="29"/>
      <c r="O38" s="29"/>
    </row>
    <row r="39" spans="1:15" s="7" customFormat="1" x14ac:dyDescent="0.2">
      <c r="A39" s="18" t="s">
        <v>294</v>
      </c>
      <c r="B39" s="66">
        <v>900</v>
      </c>
      <c r="C39" s="61" t="s">
        <v>12</v>
      </c>
      <c r="D39" s="61" t="s">
        <v>21</v>
      </c>
      <c r="E39" s="19" t="s">
        <v>296</v>
      </c>
      <c r="F39" s="19"/>
      <c r="G39" s="20">
        <f t="shared" si="5"/>
        <v>1204.0999999999999</v>
      </c>
      <c r="H39" s="20">
        <f t="shared" si="5"/>
        <v>1204.0999999999999</v>
      </c>
      <c r="I39" s="20">
        <f t="shared" si="5"/>
        <v>1204.0999999999999</v>
      </c>
      <c r="J39" s="21"/>
      <c r="K39" s="114"/>
      <c r="L39" s="21"/>
      <c r="M39" s="21"/>
      <c r="N39" s="21"/>
      <c r="O39" s="21"/>
    </row>
    <row r="40" spans="1:15" s="29" customFormat="1" x14ac:dyDescent="0.2">
      <c r="A40" s="31" t="s">
        <v>72</v>
      </c>
      <c r="B40" s="35">
        <v>900</v>
      </c>
      <c r="C40" s="27" t="s">
        <v>12</v>
      </c>
      <c r="D40" s="27" t="s">
        <v>21</v>
      </c>
      <c r="E40" s="27" t="s">
        <v>296</v>
      </c>
      <c r="F40" s="27" t="s">
        <v>73</v>
      </c>
      <c r="G40" s="28">
        <f>1024.8+179.3</f>
        <v>1204.0999999999999</v>
      </c>
      <c r="H40" s="28">
        <f>1024.8+179.3</f>
        <v>1204.0999999999999</v>
      </c>
      <c r="I40" s="28">
        <f>1024.8+179.3</f>
        <v>1204.0999999999999</v>
      </c>
      <c r="J40" s="21"/>
      <c r="K40" s="114"/>
      <c r="L40" s="21"/>
      <c r="M40" s="21"/>
    </row>
    <row r="41" spans="1:15" s="9" customFormat="1" x14ac:dyDescent="0.2">
      <c r="A41" s="11" t="s">
        <v>24</v>
      </c>
      <c r="B41" s="14">
        <v>900</v>
      </c>
      <c r="C41" s="8" t="s">
        <v>12</v>
      </c>
      <c r="D41" s="8" t="s">
        <v>61</v>
      </c>
      <c r="E41" s="8"/>
      <c r="F41" s="8"/>
      <c r="G41" s="4">
        <f>G46+G52+G54+G58+G61+G48+G50+G56+G42+G44</f>
        <v>55009.400000000016</v>
      </c>
      <c r="H41" s="4">
        <f t="shared" ref="H41:I41" si="6">H46+H52+H54+H58+H61+H48+H50+H56+H42+H44</f>
        <v>34619.5</v>
      </c>
      <c r="I41" s="4">
        <f t="shared" si="6"/>
        <v>34619.5</v>
      </c>
      <c r="K41" s="116"/>
    </row>
    <row r="42" spans="1:15" x14ac:dyDescent="0.2">
      <c r="A42" s="18" t="s">
        <v>234</v>
      </c>
      <c r="B42" s="22">
        <v>900</v>
      </c>
      <c r="C42" s="19" t="s">
        <v>12</v>
      </c>
      <c r="D42" s="19" t="s">
        <v>61</v>
      </c>
      <c r="E42" s="19" t="s">
        <v>233</v>
      </c>
      <c r="F42" s="19"/>
      <c r="G42" s="20">
        <f>G43</f>
        <v>4533.8</v>
      </c>
      <c r="H42" s="20">
        <f>H43</f>
        <v>3092.6</v>
      </c>
      <c r="I42" s="20">
        <f>I43</f>
        <v>3092.6</v>
      </c>
      <c r="K42" s="116"/>
    </row>
    <row r="43" spans="1:15" s="29" customFormat="1" x14ac:dyDescent="0.2">
      <c r="A43" s="31" t="s">
        <v>69</v>
      </c>
      <c r="B43" s="35">
        <v>900</v>
      </c>
      <c r="C43" s="27" t="s">
        <v>12</v>
      </c>
      <c r="D43" s="27" t="s">
        <v>61</v>
      </c>
      <c r="E43" s="27" t="s">
        <v>233</v>
      </c>
      <c r="F43" s="27" t="s">
        <v>70</v>
      </c>
      <c r="G43" s="28">
        <f>3092.6+1451.2-10</f>
        <v>4533.8</v>
      </c>
      <c r="H43" s="28">
        <v>3092.6</v>
      </c>
      <c r="I43" s="28">
        <v>3092.6</v>
      </c>
      <c r="J43" s="21"/>
      <c r="K43" s="116"/>
      <c r="L43" s="21"/>
      <c r="M43" s="21"/>
      <c r="N43" s="21"/>
      <c r="O43" s="21"/>
    </row>
    <row r="44" spans="1:15" x14ac:dyDescent="0.2">
      <c r="A44" s="18" t="s">
        <v>295</v>
      </c>
      <c r="B44" s="22">
        <v>900</v>
      </c>
      <c r="C44" s="19" t="s">
        <v>12</v>
      </c>
      <c r="D44" s="19" t="s">
        <v>61</v>
      </c>
      <c r="E44" s="19" t="s">
        <v>297</v>
      </c>
      <c r="F44" s="19"/>
      <c r="G44" s="20">
        <f>G45</f>
        <v>1579.6</v>
      </c>
      <c r="H44" s="20">
        <f>H45</f>
        <v>1709.5</v>
      </c>
      <c r="I44" s="20">
        <f>I45</f>
        <v>1709.5</v>
      </c>
      <c r="K44" s="114"/>
      <c r="N44" s="29"/>
      <c r="O44" s="29"/>
    </row>
    <row r="45" spans="1:15" s="29" customFormat="1" x14ac:dyDescent="0.2">
      <c r="A45" s="31" t="s">
        <v>72</v>
      </c>
      <c r="B45" s="35">
        <v>900</v>
      </c>
      <c r="C45" s="27" t="s">
        <v>12</v>
      </c>
      <c r="D45" s="27" t="s">
        <v>61</v>
      </c>
      <c r="E45" s="27" t="s">
        <v>297</v>
      </c>
      <c r="F45" s="27" t="s">
        <v>73</v>
      </c>
      <c r="G45" s="28">
        <f>1838.9-129.4-129.9</f>
        <v>1579.6</v>
      </c>
      <c r="H45" s="28">
        <f>1838.9-129.4</f>
        <v>1709.5</v>
      </c>
      <c r="I45" s="28">
        <f>1838.9-129.4</f>
        <v>1709.5</v>
      </c>
      <c r="J45" s="9"/>
      <c r="K45" s="114"/>
      <c r="L45" s="9"/>
      <c r="M45" s="9"/>
      <c r="N45" s="9"/>
      <c r="O45" s="9"/>
    </row>
    <row r="46" spans="1:15" x14ac:dyDescent="0.2">
      <c r="A46" s="18" t="s">
        <v>150</v>
      </c>
      <c r="B46" s="22">
        <v>900</v>
      </c>
      <c r="C46" s="19" t="s">
        <v>12</v>
      </c>
      <c r="D46" s="19" t="s">
        <v>61</v>
      </c>
      <c r="E46" s="19" t="s">
        <v>151</v>
      </c>
      <c r="F46" s="19"/>
      <c r="G46" s="20">
        <f>G47</f>
        <v>21361.000000000004</v>
      </c>
      <c r="H46" s="20">
        <f>H47</f>
        <v>17922.900000000001</v>
      </c>
      <c r="I46" s="20">
        <f>I47</f>
        <v>17922.900000000001</v>
      </c>
      <c r="K46" s="116"/>
    </row>
    <row r="47" spans="1:15" s="29" customFormat="1" ht="25.5" x14ac:dyDescent="0.2">
      <c r="A47" s="31" t="s">
        <v>144</v>
      </c>
      <c r="B47" s="35">
        <v>900</v>
      </c>
      <c r="C47" s="27" t="s">
        <v>12</v>
      </c>
      <c r="D47" s="27" t="s">
        <v>61</v>
      </c>
      <c r="E47" s="27" t="s">
        <v>151</v>
      </c>
      <c r="F47" s="27" t="s">
        <v>65</v>
      </c>
      <c r="G47" s="28">
        <f>17545.9+213+25+139+1904.8+1332.2-35.1+236.2</f>
        <v>21361.000000000004</v>
      </c>
      <c r="H47" s="28">
        <f>17545.9+213+25+139</f>
        <v>17922.900000000001</v>
      </c>
      <c r="I47" s="28">
        <f>17545.9+213+25+139</f>
        <v>17922.900000000001</v>
      </c>
      <c r="J47" s="21"/>
      <c r="K47" s="116"/>
      <c r="L47" s="21"/>
      <c r="M47" s="21"/>
    </row>
    <row r="48" spans="1:15" ht="25.5" x14ac:dyDescent="0.2">
      <c r="A48" s="17" t="s">
        <v>166</v>
      </c>
      <c r="B48" s="17">
        <v>900</v>
      </c>
      <c r="C48" s="19" t="s">
        <v>12</v>
      </c>
      <c r="D48" s="19" t="s">
        <v>61</v>
      </c>
      <c r="E48" s="19" t="s">
        <v>165</v>
      </c>
      <c r="F48" s="5"/>
      <c r="G48" s="6">
        <f>G49</f>
        <v>60.9</v>
      </c>
      <c r="H48" s="6">
        <f>H49</f>
        <v>25.799999999999997</v>
      </c>
      <c r="I48" s="6">
        <f>I49</f>
        <v>25.799999999999997</v>
      </c>
      <c r="K48" s="116"/>
    </row>
    <row r="49" spans="1:13" ht="25.5" x14ac:dyDescent="0.2">
      <c r="A49" s="31" t="s">
        <v>144</v>
      </c>
      <c r="B49" s="31">
        <v>900</v>
      </c>
      <c r="C49" s="27" t="s">
        <v>12</v>
      </c>
      <c r="D49" s="27" t="s">
        <v>61</v>
      </c>
      <c r="E49" s="27" t="s">
        <v>165</v>
      </c>
      <c r="F49" s="27" t="s">
        <v>65</v>
      </c>
      <c r="G49" s="28">
        <f>10.2+15.6+35.1</f>
        <v>60.9</v>
      </c>
      <c r="H49" s="28">
        <f>10.2+15.6</f>
        <v>25.799999999999997</v>
      </c>
      <c r="I49" s="28">
        <f>10.2+15.6</f>
        <v>25.799999999999997</v>
      </c>
      <c r="K49" s="116"/>
    </row>
    <row r="50" spans="1:13" x14ac:dyDescent="0.2">
      <c r="A50" s="18" t="s">
        <v>177</v>
      </c>
      <c r="B50" s="22">
        <v>900</v>
      </c>
      <c r="C50" s="19" t="s">
        <v>12</v>
      </c>
      <c r="D50" s="19" t="s">
        <v>61</v>
      </c>
      <c r="E50" s="19" t="s">
        <v>176</v>
      </c>
      <c r="F50" s="19"/>
      <c r="G50" s="20">
        <f>G51</f>
        <v>13130.8</v>
      </c>
      <c r="H50" s="20">
        <f>H51</f>
        <v>0</v>
      </c>
      <c r="I50" s="20">
        <f>I51</f>
        <v>0</v>
      </c>
      <c r="K50" s="114"/>
    </row>
    <row r="51" spans="1:13" s="29" customFormat="1" ht="25.5" x14ac:dyDescent="0.2">
      <c r="A51" s="31" t="s">
        <v>83</v>
      </c>
      <c r="B51" s="35">
        <v>900</v>
      </c>
      <c r="C51" s="27" t="s">
        <v>12</v>
      </c>
      <c r="D51" s="27" t="s">
        <v>61</v>
      </c>
      <c r="E51" s="27" t="s">
        <v>176</v>
      </c>
      <c r="F51" s="27" t="s">
        <v>71</v>
      </c>
      <c r="G51" s="28">
        <v>13130.8</v>
      </c>
      <c r="H51" s="28"/>
      <c r="I51" s="28"/>
      <c r="K51" s="114"/>
    </row>
    <row r="52" spans="1:13" ht="38.25" x14ac:dyDescent="0.2">
      <c r="A52" s="18" t="s">
        <v>152</v>
      </c>
      <c r="B52" s="22">
        <v>900</v>
      </c>
      <c r="C52" s="19" t="s">
        <v>12</v>
      </c>
      <c r="D52" s="19" t="s">
        <v>61</v>
      </c>
      <c r="E52" s="19" t="s">
        <v>87</v>
      </c>
      <c r="F52" s="19"/>
      <c r="G52" s="20">
        <f>G53</f>
        <v>120</v>
      </c>
      <c r="H52" s="20">
        <f>H53</f>
        <v>120</v>
      </c>
      <c r="I52" s="20">
        <f>I53</f>
        <v>120</v>
      </c>
      <c r="K52" s="114"/>
    </row>
    <row r="53" spans="1:13" s="29" customFormat="1" ht="25.5" x14ac:dyDescent="0.2">
      <c r="A53" s="31" t="s">
        <v>144</v>
      </c>
      <c r="B53" s="35">
        <v>900</v>
      </c>
      <c r="C53" s="27" t="s">
        <v>12</v>
      </c>
      <c r="D53" s="27" t="s">
        <v>61</v>
      </c>
      <c r="E53" s="27" t="s">
        <v>87</v>
      </c>
      <c r="F53" s="27" t="s">
        <v>65</v>
      </c>
      <c r="G53" s="28">
        <v>120</v>
      </c>
      <c r="H53" s="28">
        <v>120</v>
      </c>
      <c r="I53" s="28">
        <v>120</v>
      </c>
      <c r="J53" s="21"/>
      <c r="K53" s="114"/>
      <c r="L53" s="21"/>
      <c r="M53" s="21"/>
    </row>
    <row r="54" spans="1:13" ht="30.75" customHeight="1" x14ac:dyDescent="0.2">
      <c r="A54" s="17" t="s">
        <v>153</v>
      </c>
      <c r="B54" s="50">
        <v>900</v>
      </c>
      <c r="C54" s="19" t="s">
        <v>12</v>
      </c>
      <c r="D54" s="19" t="s">
        <v>61</v>
      </c>
      <c r="E54" s="19" t="s">
        <v>154</v>
      </c>
      <c r="F54" s="19"/>
      <c r="G54" s="20">
        <f>G55</f>
        <v>828</v>
      </c>
      <c r="H54" s="20">
        <f>H55</f>
        <v>828</v>
      </c>
      <c r="I54" s="20">
        <f>I55</f>
        <v>828</v>
      </c>
      <c r="K54" s="114"/>
    </row>
    <row r="55" spans="1:13" s="29" customFormat="1" x14ac:dyDescent="0.2">
      <c r="A55" s="31" t="s">
        <v>69</v>
      </c>
      <c r="B55" s="35">
        <v>900</v>
      </c>
      <c r="C55" s="27" t="s">
        <v>12</v>
      </c>
      <c r="D55" s="27" t="s">
        <v>61</v>
      </c>
      <c r="E55" s="27" t="s">
        <v>154</v>
      </c>
      <c r="F55" s="27" t="s">
        <v>70</v>
      </c>
      <c r="G55" s="28">
        <v>828</v>
      </c>
      <c r="H55" s="28">
        <v>828</v>
      </c>
      <c r="I55" s="28">
        <v>828</v>
      </c>
      <c r="K55" s="114"/>
    </row>
    <row r="56" spans="1:13" s="12" customFormat="1" ht="25.5" x14ac:dyDescent="0.2">
      <c r="A56" s="64" t="s">
        <v>155</v>
      </c>
      <c r="B56" s="65">
        <v>900</v>
      </c>
      <c r="C56" s="19" t="s">
        <v>12</v>
      </c>
      <c r="D56" s="19" t="s">
        <v>61</v>
      </c>
      <c r="E56" s="5" t="s">
        <v>156</v>
      </c>
      <c r="F56" s="5"/>
      <c r="G56" s="6">
        <f>G57</f>
        <v>5142.8</v>
      </c>
      <c r="H56" s="6">
        <f>H57</f>
        <v>3594.8</v>
      </c>
      <c r="I56" s="6">
        <f>I57</f>
        <v>3594.8</v>
      </c>
      <c r="K56" s="116"/>
    </row>
    <row r="57" spans="1:13" s="32" customFormat="1" ht="25.5" x14ac:dyDescent="0.2">
      <c r="A57" s="31" t="s">
        <v>144</v>
      </c>
      <c r="B57" s="35">
        <v>900</v>
      </c>
      <c r="C57" s="27" t="s">
        <v>12</v>
      </c>
      <c r="D57" s="27" t="s">
        <v>61</v>
      </c>
      <c r="E57" s="27" t="s">
        <v>156</v>
      </c>
      <c r="F57" s="27" t="s">
        <v>65</v>
      </c>
      <c r="G57" s="28">
        <f>3565.9+28.9+1162.1+140.8+245.1</f>
        <v>5142.8</v>
      </c>
      <c r="H57" s="28">
        <f>3565.9+28.9</f>
        <v>3594.8</v>
      </c>
      <c r="I57" s="28">
        <f>3565.9+28.9</f>
        <v>3594.8</v>
      </c>
      <c r="J57" s="12"/>
      <c r="K57" s="116"/>
      <c r="L57" s="12"/>
      <c r="M57" s="12"/>
    </row>
    <row r="58" spans="1:13" ht="102" x14ac:dyDescent="0.2">
      <c r="A58" s="53" t="s">
        <v>158</v>
      </c>
      <c r="B58" s="22">
        <v>900</v>
      </c>
      <c r="C58" s="19" t="s">
        <v>12</v>
      </c>
      <c r="D58" s="19" t="s">
        <v>61</v>
      </c>
      <c r="E58" s="19" t="s">
        <v>157</v>
      </c>
      <c r="F58" s="19"/>
      <c r="G58" s="20">
        <f>G59+G60</f>
        <v>8018.1</v>
      </c>
      <c r="H58" s="20">
        <f>H59+H60</f>
        <v>7091.5</v>
      </c>
      <c r="I58" s="20">
        <f>I59+I60</f>
        <v>7091.5</v>
      </c>
      <c r="K58" s="116"/>
    </row>
    <row r="59" spans="1:13" s="29" customFormat="1" ht="53.25" customHeight="1" x14ac:dyDescent="0.2">
      <c r="A59" s="26" t="s">
        <v>66</v>
      </c>
      <c r="B59" s="35">
        <v>900</v>
      </c>
      <c r="C59" s="27" t="s">
        <v>12</v>
      </c>
      <c r="D59" s="27" t="s">
        <v>61</v>
      </c>
      <c r="E59" s="27" t="s">
        <v>157</v>
      </c>
      <c r="F59" s="30" t="s">
        <v>67</v>
      </c>
      <c r="G59" s="28">
        <f>5361+1619+67.1+880.9</f>
        <v>7928</v>
      </c>
      <c r="H59" s="28">
        <f>5361+1619+67.1</f>
        <v>7047.1</v>
      </c>
      <c r="I59" s="28">
        <f>5361+1619+67.1</f>
        <v>7047.1</v>
      </c>
      <c r="J59" s="21"/>
      <c r="K59" s="116"/>
      <c r="L59" s="21"/>
      <c r="M59" s="21"/>
    </row>
    <row r="60" spans="1:13" s="29" customFormat="1" ht="25.5" x14ac:dyDescent="0.2">
      <c r="A60" s="31" t="s">
        <v>76</v>
      </c>
      <c r="B60" s="35">
        <v>900</v>
      </c>
      <c r="C60" s="27" t="s">
        <v>12</v>
      </c>
      <c r="D60" s="27" t="s">
        <v>61</v>
      </c>
      <c r="E60" s="27" t="s">
        <v>157</v>
      </c>
      <c r="F60" s="30" t="s">
        <v>68</v>
      </c>
      <c r="G60" s="28">
        <f>34.1+8.3+2+45.7</f>
        <v>90.100000000000009</v>
      </c>
      <c r="H60" s="28">
        <f>34.1+8.3+2</f>
        <v>44.400000000000006</v>
      </c>
      <c r="I60" s="28">
        <f>34.1+8.3+2</f>
        <v>44.400000000000006</v>
      </c>
      <c r="J60" s="21"/>
      <c r="K60" s="116"/>
      <c r="L60" s="21"/>
      <c r="M60" s="21"/>
    </row>
    <row r="61" spans="1:13" s="29" customFormat="1" ht="63.75" x14ac:dyDescent="0.2">
      <c r="A61" s="53" t="s">
        <v>159</v>
      </c>
      <c r="B61" s="53">
        <v>900</v>
      </c>
      <c r="C61" s="19" t="s">
        <v>12</v>
      </c>
      <c r="D61" s="19" t="s">
        <v>61</v>
      </c>
      <c r="E61" s="19" t="s">
        <v>160</v>
      </c>
      <c r="F61" s="19"/>
      <c r="G61" s="20">
        <f>G62</f>
        <v>234.4</v>
      </c>
      <c r="H61" s="20">
        <f>H62</f>
        <v>234.4</v>
      </c>
      <c r="I61" s="20">
        <f>I62</f>
        <v>234.4</v>
      </c>
      <c r="K61" s="114"/>
    </row>
    <row r="62" spans="1:13" ht="25.5" x14ac:dyDescent="0.2">
      <c r="A62" s="31" t="s">
        <v>76</v>
      </c>
      <c r="B62" s="26">
        <v>900</v>
      </c>
      <c r="C62" s="27" t="s">
        <v>12</v>
      </c>
      <c r="D62" s="27" t="s">
        <v>61</v>
      </c>
      <c r="E62" s="27" t="s">
        <v>160</v>
      </c>
      <c r="F62" s="30" t="s">
        <v>68</v>
      </c>
      <c r="G62" s="28">
        <v>234.4</v>
      </c>
      <c r="H62" s="28">
        <v>234.4</v>
      </c>
      <c r="I62" s="28">
        <v>234.4</v>
      </c>
      <c r="K62" s="114"/>
    </row>
    <row r="63" spans="1:13" s="3" customFormat="1" ht="25.5" x14ac:dyDescent="0.2">
      <c r="A63" s="13" t="s">
        <v>5</v>
      </c>
      <c r="B63" s="49">
        <v>900</v>
      </c>
      <c r="C63" s="1" t="s">
        <v>16</v>
      </c>
      <c r="D63" s="1"/>
      <c r="E63" s="1"/>
      <c r="F63" s="1"/>
      <c r="G63" s="2">
        <f>G64</f>
        <v>4983.8</v>
      </c>
      <c r="H63" s="2">
        <f>H64</f>
        <v>4021.2000000000003</v>
      </c>
      <c r="I63" s="2">
        <f>I64</f>
        <v>4021.2000000000003</v>
      </c>
      <c r="K63" s="116"/>
    </row>
    <row r="64" spans="1:13" s="9" customFormat="1" ht="38.25" x14ac:dyDescent="0.2">
      <c r="A64" s="11" t="s">
        <v>81</v>
      </c>
      <c r="B64" s="14">
        <v>900</v>
      </c>
      <c r="C64" s="8" t="s">
        <v>16</v>
      </c>
      <c r="D64" s="8" t="s">
        <v>26</v>
      </c>
      <c r="E64" s="8"/>
      <c r="F64" s="8"/>
      <c r="G64" s="4">
        <f>G65+G69+G71+G73</f>
        <v>4983.8</v>
      </c>
      <c r="H64" s="4">
        <f>H65+H69+H71+H73</f>
        <v>4021.2000000000003</v>
      </c>
      <c r="I64" s="4">
        <f>I65+I69+I71+I73</f>
        <v>4021.2000000000003</v>
      </c>
      <c r="K64" s="116"/>
    </row>
    <row r="65" spans="1:11" ht="38.25" x14ac:dyDescent="0.2">
      <c r="A65" s="53" t="s">
        <v>162</v>
      </c>
      <c r="B65" s="51">
        <v>900</v>
      </c>
      <c r="C65" s="19" t="s">
        <v>16</v>
      </c>
      <c r="D65" s="19" t="s">
        <v>26</v>
      </c>
      <c r="E65" s="19" t="s">
        <v>161</v>
      </c>
      <c r="F65" s="19"/>
      <c r="G65" s="20">
        <f>G66+G67+G68</f>
        <v>4848.6000000000004</v>
      </c>
      <c r="H65" s="20">
        <f>H66+H67+H68</f>
        <v>3906.3</v>
      </c>
      <c r="I65" s="20">
        <f>I66+I67+I68</f>
        <v>3906.3</v>
      </c>
      <c r="K65" s="116"/>
    </row>
    <row r="66" spans="1:11" s="29" customFormat="1" ht="51" customHeight="1" x14ac:dyDescent="0.2">
      <c r="A66" s="34" t="s">
        <v>66</v>
      </c>
      <c r="B66" s="36">
        <v>900</v>
      </c>
      <c r="C66" s="27" t="s">
        <v>16</v>
      </c>
      <c r="D66" s="27" t="s">
        <v>26</v>
      </c>
      <c r="E66" s="27" t="s">
        <v>161</v>
      </c>
      <c r="F66" s="30" t="s">
        <v>67</v>
      </c>
      <c r="G66" s="28">
        <f>3261.1+31.4+411.6</f>
        <v>3704.1</v>
      </c>
      <c r="H66" s="28">
        <f>3261.1+31.4</f>
        <v>3292.5</v>
      </c>
      <c r="I66" s="28">
        <f>3261.1+31.4</f>
        <v>3292.5</v>
      </c>
      <c r="K66" s="116"/>
    </row>
    <row r="67" spans="1:11" s="29" customFormat="1" ht="25.5" x14ac:dyDescent="0.2">
      <c r="A67" s="31" t="s">
        <v>76</v>
      </c>
      <c r="B67" s="36">
        <v>900</v>
      </c>
      <c r="C67" s="27" t="s">
        <v>16</v>
      </c>
      <c r="D67" s="27" t="s">
        <v>26</v>
      </c>
      <c r="E67" s="27" t="s">
        <v>161</v>
      </c>
      <c r="F67" s="30" t="s">
        <v>68</v>
      </c>
      <c r="G67" s="28">
        <f>170.8+45+148.6+30+209-20.3+543.4</f>
        <v>1126.5</v>
      </c>
      <c r="H67" s="28">
        <f>170.8+45+148.6+30+209</f>
        <v>603.4</v>
      </c>
      <c r="I67" s="28">
        <f>170.8+45+148.6+30+209</f>
        <v>603.4</v>
      </c>
      <c r="K67" s="116"/>
    </row>
    <row r="68" spans="1:11" s="29" customFormat="1" x14ac:dyDescent="0.2">
      <c r="A68" s="31" t="s">
        <v>72</v>
      </c>
      <c r="B68" s="35">
        <v>900</v>
      </c>
      <c r="C68" s="27" t="s">
        <v>16</v>
      </c>
      <c r="D68" s="27" t="s">
        <v>26</v>
      </c>
      <c r="E68" s="27" t="s">
        <v>161</v>
      </c>
      <c r="F68" s="27" t="s">
        <v>73</v>
      </c>
      <c r="G68" s="28">
        <f>10.4+7.6</f>
        <v>18</v>
      </c>
      <c r="H68" s="28">
        <v>10.4</v>
      </c>
      <c r="I68" s="28">
        <v>10.4</v>
      </c>
      <c r="K68" s="116"/>
    </row>
    <row r="69" spans="1:11" s="12" customFormat="1" ht="25.5" x14ac:dyDescent="0.2">
      <c r="A69" s="17" t="s">
        <v>166</v>
      </c>
      <c r="B69" s="50">
        <v>900</v>
      </c>
      <c r="C69" s="19" t="s">
        <v>16</v>
      </c>
      <c r="D69" s="19" t="s">
        <v>26</v>
      </c>
      <c r="E69" s="19" t="s">
        <v>165</v>
      </c>
      <c r="F69" s="5"/>
      <c r="G69" s="6">
        <f>G70</f>
        <v>1</v>
      </c>
      <c r="H69" s="6">
        <f>H70</f>
        <v>1</v>
      </c>
      <c r="I69" s="6">
        <f>I70</f>
        <v>1</v>
      </c>
      <c r="K69" s="114"/>
    </row>
    <row r="70" spans="1:11" s="29" customFormat="1" ht="25.5" x14ac:dyDescent="0.2">
      <c r="A70" s="31" t="s">
        <v>76</v>
      </c>
      <c r="B70" s="36">
        <v>900</v>
      </c>
      <c r="C70" s="27" t="s">
        <v>16</v>
      </c>
      <c r="D70" s="27" t="s">
        <v>26</v>
      </c>
      <c r="E70" s="27" t="s">
        <v>165</v>
      </c>
      <c r="F70" s="30" t="s">
        <v>68</v>
      </c>
      <c r="G70" s="28">
        <v>1</v>
      </c>
      <c r="H70" s="28">
        <v>1</v>
      </c>
      <c r="I70" s="28">
        <v>1</v>
      </c>
      <c r="K70" s="114"/>
    </row>
    <row r="71" spans="1:11" s="12" customFormat="1" x14ac:dyDescent="0.2">
      <c r="A71" s="17" t="s">
        <v>167</v>
      </c>
      <c r="B71" s="50">
        <v>900</v>
      </c>
      <c r="C71" s="19" t="s">
        <v>16</v>
      </c>
      <c r="D71" s="19" t="s">
        <v>26</v>
      </c>
      <c r="E71" s="19" t="s">
        <v>168</v>
      </c>
      <c r="F71" s="5"/>
      <c r="G71" s="6">
        <f>G72</f>
        <v>100</v>
      </c>
      <c r="H71" s="6">
        <f>H72</f>
        <v>80.900000000000006</v>
      </c>
      <c r="I71" s="6">
        <f>I72</f>
        <v>80.900000000000006</v>
      </c>
      <c r="K71" s="114"/>
    </row>
    <row r="72" spans="1:11" s="29" customFormat="1" ht="25.5" x14ac:dyDescent="0.2">
      <c r="A72" s="31" t="s">
        <v>76</v>
      </c>
      <c r="B72" s="36">
        <v>900</v>
      </c>
      <c r="C72" s="27" t="s">
        <v>16</v>
      </c>
      <c r="D72" s="27" t="s">
        <v>26</v>
      </c>
      <c r="E72" s="27" t="s">
        <v>168</v>
      </c>
      <c r="F72" s="30" t="s">
        <v>68</v>
      </c>
      <c r="G72" s="28">
        <f>80.9+19.1</f>
        <v>100</v>
      </c>
      <c r="H72" s="28">
        <v>80.900000000000006</v>
      </c>
      <c r="I72" s="28">
        <v>80.900000000000006</v>
      </c>
      <c r="K72" s="114"/>
    </row>
    <row r="73" spans="1:11" s="12" customFormat="1" ht="25.5" x14ac:dyDescent="0.2">
      <c r="A73" s="17" t="s">
        <v>169</v>
      </c>
      <c r="B73" s="50">
        <v>900</v>
      </c>
      <c r="C73" s="19" t="s">
        <v>16</v>
      </c>
      <c r="D73" s="19" t="s">
        <v>26</v>
      </c>
      <c r="E73" s="19" t="s">
        <v>170</v>
      </c>
      <c r="F73" s="5"/>
      <c r="G73" s="6">
        <f>G74</f>
        <v>34.200000000000003</v>
      </c>
      <c r="H73" s="6">
        <f>H74</f>
        <v>33</v>
      </c>
      <c r="I73" s="6">
        <f>I74</f>
        <v>33</v>
      </c>
      <c r="K73" s="114"/>
    </row>
    <row r="74" spans="1:11" s="29" customFormat="1" x14ac:dyDescent="0.2">
      <c r="A74" s="31" t="s">
        <v>69</v>
      </c>
      <c r="B74" s="36">
        <v>900</v>
      </c>
      <c r="C74" s="27" t="s">
        <v>16</v>
      </c>
      <c r="D74" s="27" t="s">
        <v>26</v>
      </c>
      <c r="E74" s="19" t="s">
        <v>170</v>
      </c>
      <c r="F74" s="30" t="s">
        <v>70</v>
      </c>
      <c r="G74" s="28">
        <f>33+1.2</f>
        <v>34.200000000000003</v>
      </c>
      <c r="H74" s="28">
        <v>33</v>
      </c>
      <c r="I74" s="28">
        <v>33</v>
      </c>
      <c r="K74" s="114"/>
    </row>
    <row r="75" spans="1:11" s="3" customFormat="1" x14ac:dyDescent="0.2">
      <c r="A75" s="13" t="s">
        <v>27</v>
      </c>
      <c r="B75" s="81">
        <v>900</v>
      </c>
      <c r="C75" s="1" t="s">
        <v>18</v>
      </c>
      <c r="D75" s="1"/>
      <c r="E75" s="1"/>
      <c r="F75" s="82"/>
      <c r="G75" s="2">
        <f>G76</f>
        <v>670.9</v>
      </c>
      <c r="H75" s="2">
        <f t="shared" ref="H75:I75" si="7">H76</f>
        <v>670.9</v>
      </c>
      <c r="I75" s="2">
        <f t="shared" si="7"/>
        <v>670.9</v>
      </c>
      <c r="K75" s="114"/>
    </row>
    <row r="76" spans="1:11" s="9" customFormat="1" x14ac:dyDescent="0.2">
      <c r="A76" s="11" t="s">
        <v>29</v>
      </c>
      <c r="B76" s="14">
        <v>900</v>
      </c>
      <c r="C76" s="8" t="s">
        <v>18</v>
      </c>
      <c r="D76" s="8" t="s">
        <v>23</v>
      </c>
      <c r="E76" s="8"/>
      <c r="F76" s="8"/>
      <c r="G76" s="4">
        <f>G77+G79</f>
        <v>670.9</v>
      </c>
      <c r="H76" s="4">
        <f t="shared" ref="H76:I76" si="8">H77+H79</f>
        <v>670.9</v>
      </c>
      <c r="I76" s="4">
        <f t="shared" si="8"/>
        <v>670.9</v>
      </c>
      <c r="K76" s="114"/>
    </row>
    <row r="77" spans="1:11" ht="25.5" x14ac:dyDescent="0.2">
      <c r="A77" s="18" t="s">
        <v>172</v>
      </c>
      <c r="B77" s="22">
        <v>900</v>
      </c>
      <c r="C77" s="19" t="s">
        <v>18</v>
      </c>
      <c r="D77" s="19" t="s">
        <v>23</v>
      </c>
      <c r="E77" s="19" t="s">
        <v>171</v>
      </c>
      <c r="F77" s="19"/>
      <c r="G77" s="20">
        <f>G78</f>
        <v>75</v>
      </c>
      <c r="H77" s="20">
        <f>H78</f>
        <v>75</v>
      </c>
      <c r="I77" s="20">
        <f>I78</f>
        <v>75</v>
      </c>
      <c r="K77" s="114"/>
    </row>
    <row r="78" spans="1:11" s="29" customFormat="1" ht="25.5" x14ac:dyDescent="0.2">
      <c r="A78" s="31" t="s">
        <v>76</v>
      </c>
      <c r="B78" s="35">
        <v>900</v>
      </c>
      <c r="C78" s="27" t="s">
        <v>18</v>
      </c>
      <c r="D78" s="27" t="s">
        <v>23</v>
      </c>
      <c r="E78" s="27" t="s">
        <v>171</v>
      </c>
      <c r="F78" s="27" t="s">
        <v>68</v>
      </c>
      <c r="G78" s="28">
        <v>75</v>
      </c>
      <c r="H78" s="28">
        <v>75</v>
      </c>
      <c r="I78" s="28">
        <v>75</v>
      </c>
      <c r="K78" s="114"/>
    </row>
    <row r="79" spans="1:11" ht="25.5" x14ac:dyDescent="0.2">
      <c r="A79" s="18" t="s">
        <v>173</v>
      </c>
      <c r="B79" s="17">
        <v>900</v>
      </c>
      <c r="C79" s="19" t="s">
        <v>18</v>
      </c>
      <c r="D79" s="19" t="s">
        <v>23</v>
      </c>
      <c r="E79" s="19" t="s">
        <v>367</v>
      </c>
      <c r="F79" s="19"/>
      <c r="G79" s="20">
        <f>G80</f>
        <v>595.9</v>
      </c>
      <c r="H79" s="20">
        <f>H80</f>
        <v>595.9</v>
      </c>
      <c r="I79" s="20">
        <f>I80</f>
        <v>595.9</v>
      </c>
      <c r="K79" s="114"/>
    </row>
    <row r="80" spans="1:11" s="29" customFormat="1" x14ac:dyDescent="0.2">
      <c r="A80" s="31" t="s">
        <v>72</v>
      </c>
      <c r="B80" s="26">
        <v>900</v>
      </c>
      <c r="C80" s="27" t="s">
        <v>18</v>
      </c>
      <c r="D80" s="27" t="s">
        <v>23</v>
      </c>
      <c r="E80" s="27" t="s">
        <v>367</v>
      </c>
      <c r="F80" s="30" t="s">
        <v>73</v>
      </c>
      <c r="G80" s="28">
        <v>595.9</v>
      </c>
      <c r="H80" s="28">
        <v>595.9</v>
      </c>
      <c r="I80" s="28">
        <v>595.9</v>
      </c>
      <c r="K80" s="114"/>
    </row>
    <row r="81" spans="1:16" s="3" customFormat="1" x14ac:dyDescent="0.2">
      <c r="A81" s="13" t="s">
        <v>30</v>
      </c>
      <c r="B81" s="49">
        <v>900</v>
      </c>
      <c r="C81" s="1" t="s">
        <v>31</v>
      </c>
      <c r="D81" s="1"/>
      <c r="E81" s="1"/>
      <c r="F81" s="1"/>
      <c r="G81" s="2">
        <f>G82+G93</f>
        <v>26343.399999999998</v>
      </c>
      <c r="H81" s="2">
        <f t="shared" ref="H81:I81" si="9">H82+H93</f>
        <v>3562.6</v>
      </c>
      <c r="I81" s="2">
        <f t="shared" si="9"/>
        <v>32091.3</v>
      </c>
      <c r="K81" s="114"/>
    </row>
    <row r="82" spans="1:16" s="9" customFormat="1" x14ac:dyDescent="0.2">
      <c r="A82" s="11" t="s">
        <v>32</v>
      </c>
      <c r="B82" s="14">
        <v>900</v>
      </c>
      <c r="C82" s="8" t="s">
        <v>31</v>
      </c>
      <c r="D82" s="8" t="s">
        <v>12</v>
      </c>
      <c r="E82" s="8"/>
      <c r="F82" s="8"/>
      <c r="G82" s="4">
        <f>G87+G90+G85+G83</f>
        <v>26243.399999999998</v>
      </c>
      <c r="H82" s="4">
        <f t="shared" ref="H82:I82" si="10">H87+H90+H85+H83</f>
        <v>3562.6</v>
      </c>
      <c r="I82" s="4">
        <f t="shared" si="10"/>
        <v>32091.3</v>
      </c>
      <c r="K82" s="114"/>
    </row>
    <row r="83" spans="1:16" ht="25.5" x14ac:dyDescent="0.2">
      <c r="A83" s="18" t="s">
        <v>395</v>
      </c>
      <c r="B83" s="18">
        <v>900</v>
      </c>
      <c r="C83" s="19" t="s">
        <v>31</v>
      </c>
      <c r="D83" s="19" t="s">
        <v>12</v>
      </c>
      <c r="E83" s="19" t="s">
        <v>396</v>
      </c>
      <c r="F83" s="19"/>
      <c r="G83" s="20">
        <f>G84</f>
        <v>1177</v>
      </c>
      <c r="H83" s="20">
        <f>H84</f>
        <v>0</v>
      </c>
      <c r="I83" s="20">
        <f>I84</f>
        <v>0</v>
      </c>
      <c r="K83" s="114"/>
    </row>
    <row r="84" spans="1:16" s="29" customFormat="1" ht="25.5" x14ac:dyDescent="0.2">
      <c r="A84" s="31" t="s">
        <v>76</v>
      </c>
      <c r="B84" s="31">
        <v>900</v>
      </c>
      <c r="C84" s="27" t="s">
        <v>31</v>
      </c>
      <c r="D84" s="27" t="s">
        <v>12</v>
      </c>
      <c r="E84" s="27" t="s">
        <v>396</v>
      </c>
      <c r="F84" s="30" t="s">
        <v>68</v>
      </c>
      <c r="G84" s="28">
        <f>200+977</f>
        <v>1177</v>
      </c>
      <c r="H84" s="28">
        <v>0</v>
      </c>
      <c r="I84" s="28">
        <v>0</v>
      </c>
      <c r="K84" s="114"/>
    </row>
    <row r="85" spans="1:16" ht="25.5" x14ac:dyDescent="0.2">
      <c r="A85" s="18" t="s">
        <v>395</v>
      </c>
      <c r="B85" s="18">
        <v>900</v>
      </c>
      <c r="C85" s="19" t="s">
        <v>31</v>
      </c>
      <c r="D85" s="19" t="s">
        <v>12</v>
      </c>
      <c r="E85" s="19" t="s">
        <v>401</v>
      </c>
      <c r="F85" s="19"/>
      <c r="G85" s="20">
        <f>G86</f>
        <v>100</v>
      </c>
      <c r="H85" s="20">
        <f>H86</f>
        <v>0</v>
      </c>
      <c r="I85" s="20">
        <f>I86</f>
        <v>0</v>
      </c>
      <c r="K85" s="114"/>
    </row>
    <row r="86" spans="1:16" s="29" customFormat="1" x14ac:dyDescent="0.2">
      <c r="A86" s="31" t="s">
        <v>72</v>
      </c>
      <c r="B86" s="31">
        <v>900</v>
      </c>
      <c r="C86" s="27" t="s">
        <v>31</v>
      </c>
      <c r="D86" s="27" t="s">
        <v>12</v>
      </c>
      <c r="E86" s="27" t="s">
        <v>401</v>
      </c>
      <c r="F86" s="30" t="s">
        <v>73</v>
      </c>
      <c r="G86" s="28">
        <v>100</v>
      </c>
      <c r="H86" s="28">
        <v>0</v>
      </c>
      <c r="I86" s="28">
        <v>0</v>
      </c>
      <c r="K86" s="114"/>
    </row>
    <row r="87" spans="1:16" x14ac:dyDescent="0.2">
      <c r="A87" s="18" t="s">
        <v>177</v>
      </c>
      <c r="B87" s="22">
        <v>900</v>
      </c>
      <c r="C87" s="19" t="s">
        <v>31</v>
      </c>
      <c r="D87" s="19" t="s">
        <v>12</v>
      </c>
      <c r="E87" s="19" t="s">
        <v>176</v>
      </c>
      <c r="F87" s="19"/>
      <c r="G87" s="20">
        <f>G88+G89</f>
        <v>17082.599999999999</v>
      </c>
      <c r="H87" s="20">
        <f t="shared" ref="H87:I87" si="11">H88+H89</f>
        <v>1681.4</v>
      </c>
      <c r="I87" s="20">
        <f t="shared" si="11"/>
        <v>15919</v>
      </c>
      <c r="K87" s="116"/>
    </row>
    <row r="88" spans="1:16" s="29" customFormat="1" ht="25.5" x14ac:dyDescent="0.2">
      <c r="A88" s="31" t="s">
        <v>76</v>
      </c>
      <c r="B88" s="36">
        <v>900</v>
      </c>
      <c r="C88" s="27" t="s">
        <v>31</v>
      </c>
      <c r="D88" s="27" t="s">
        <v>12</v>
      </c>
      <c r="E88" s="27" t="s">
        <v>176</v>
      </c>
      <c r="F88" s="30" t="s">
        <v>68</v>
      </c>
      <c r="G88" s="28">
        <f>380.9+16815.6-977-4519.5</f>
        <v>11700</v>
      </c>
      <c r="H88" s="28">
        <f>20.5+1192.8</f>
        <v>1213.3</v>
      </c>
      <c r="I88" s="28">
        <f>134.1+11880.2</f>
        <v>12014.300000000001</v>
      </c>
      <c r="K88" s="116"/>
    </row>
    <row r="89" spans="1:16" s="29" customFormat="1" ht="25.5" x14ac:dyDescent="0.2">
      <c r="A89" s="31" t="s">
        <v>83</v>
      </c>
      <c r="B89" s="35">
        <v>900</v>
      </c>
      <c r="C89" s="27" t="s">
        <v>31</v>
      </c>
      <c r="D89" s="27" t="s">
        <v>12</v>
      </c>
      <c r="E89" s="27" t="s">
        <v>176</v>
      </c>
      <c r="F89" s="27" t="s">
        <v>71</v>
      </c>
      <c r="G89" s="28">
        <f>6393.9-200-811.3</f>
        <v>5382.5999999999995</v>
      </c>
      <c r="H89" s="28">
        <v>468.1</v>
      </c>
      <c r="I89" s="28">
        <v>3904.7</v>
      </c>
      <c r="K89" s="116"/>
    </row>
    <row r="90" spans="1:16" x14ac:dyDescent="0.2">
      <c r="A90" s="18" t="s">
        <v>179</v>
      </c>
      <c r="B90" s="22">
        <v>900</v>
      </c>
      <c r="C90" s="19" t="s">
        <v>31</v>
      </c>
      <c r="D90" s="19" t="s">
        <v>12</v>
      </c>
      <c r="E90" s="27" t="s">
        <v>178</v>
      </c>
      <c r="F90" s="19"/>
      <c r="G90" s="20">
        <f>G92+G91</f>
        <v>7883.7999999999993</v>
      </c>
      <c r="H90" s="20">
        <f t="shared" ref="H90:I90" si="12">H92+H91</f>
        <v>1881.1999999999998</v>
      </c>
      <c r="I90" s="20">
        <f t="shared" si="12"/>
        <v>16172.3</v>
      </c>
      <c r="K90" s="116"/>
    </row>
    <row r="91" spans="1:16" s="29" customFormat="1" ht="25.5" x14ac:dyDescent="0.2">
      <c r="A91" s="31" t="s">
        <v>76</v>
      </c>
      <c r="B91" s="22">
        <v>900</v>
      </c>
      <c r="C91" s="19" t="s">
        <v>31</v>
      </c>
      <c r="D91" s="19" t="s">
        <v>12</v>
      </c>
      <c r="E91" s="27" t="s">
        <v>178</v>
      </c>
      <c r="F91" s="27" t="s">
        <v>68</v>
      </c>
      <c r="G91" s="28">
        <f>19742.5-100-1758.7-16900+118</f>
        <v>1101.7999999999993</v>
      </c>
      <c r="H91" s="28">
        <v>1313.1</v>
      </c>
      <c r="I91" s="28">
        <v>10187.9</v>
      </c>
      <c r="K91" s="116"/>
    </row>
    <row r="92" spans="1:16" s="29" customFormat="1" ht="25.5" x14ac:dyDescent="0.2">
      <c r="A92" s="31" t="s">
        <v>83</v>
      </c>
      <c r="B92" s="22">
        <v>900</v>
      </c>
      <c r="C92" s="19" t="s">
        <v>31</v>
      </c>
      <c r="D92" s="19" t="s">
        <v>12</v>
      </c>
      <c r="E92" s="27" t="s">
        <v>178</v>
      </c>
      <c r="F92" s="27" t="s">
        <v>71</v>
      </c>
      <c r="G92" s="28">
        <f>6400+6200-5700-118</f>
        <v>6782</v>
      </c>
      <c r="H92" s="28">
        <v>568.1</v>
      </c>
      <c r="I92" s="28">
        <v>5984.4</v>
      </c>
      <c r="K92" s="116"/>
    </row>
    <row r="93" spans="1:16" s="9" customFormat="1" x14ac:dyDescent="0.2">
      <c r="A93" s="11" t="s">
        <v>33</v>
      </c>
      <c r="B93" s="14">
        <v>900</v>
      </c>
      <c r="C93" s="8" t="s">
        <v>31</v>
      </c>
      <c r="D93" s="8" t="s">
        <v>14</v>
      </c>
      <c r="E93" s="8"/>
      <c r="F93" s="8"/>
      <c r="G93" s="4">
        <f>G94+G96</f>
        <v>100</v>
      </c>
      <c r="H93" s="4">
        <f t="shared" ref="H93:I93" si="13">H94+H96</f>
        <v>0</v>
      </c>
      <c r="I93" s="4">
        <f t="shared" si="13"/>
        <v>0</v>
      </c>
      <c r="J93" s="21"/>
      <c r="K93" s="114"/>
      <c r="L93" s="21"/>
      <c r="M93" s="21"/>
      <c r="N93" s="21"/>
      <c r="O93" s="21"/>
    </row>
    <row r="94" spans="1:16" s="7" customFormat="1" ht="25.5" x14ac:dyDescent="0.2">
      <c r="A94" s="17" t="s">
        <v>307</v>
      </c>
      <c r="B94" s="50">
        <v>900</v>
      </c>
      <c r="C94" s="19" t="s">
        <v>31</v>
      </c>
      <c r="D94" s="19" t="s">
        <v>14</v>
      </c>
      <c r="E94" s="19" t="s">
        <v>306</v>
      </c>
      <c r="F94" s="19"/>
      <c r="G94" s="20">
        <f>G95</f>
        <v>50</v>
      </c>
      <c r="H94" s="20">
        <f t="shared" ref="H94:I94" si="14">H95</f>
        <v>0</v>
      </c>
      <c r="I94" s="20">
        <f t="shared" si="14"/>
        <v>0</v>
      </c>
      <c r="J94" s="29"/>
      <c r="K94" s="114"/>
      <c r="L94" s="29"/>
      <c r="M94" s="29"/>
      <c r="N94" s="29"/>
      <c r="O94" s="29"/>
    </row>
    <row r="95" spans="1:16" s="7" customFormat="1" x14ac:dyDescent="0.2">
      <c r="A95" s="31" t="s">
        <v>72</v>
      </c>
      <c r="B95" s="35">
        <v>900</v>
      </c>
      <c r="C95" s="27" t="s">
        <v>31</v>
      </c>
      <c r="D95" s="27" t="s">
        <v>14</v>
      </c>
      <c r="E95" s="27" t="s">
        <v>306</v>
      </c>
      <c r="F95" s="27" t="s">
        <v>73</v>
      </c>
      <c r="G95" s="28">
        <v>50</v>
      </c>
      <c r="H95" s="28">
        <v>0</v>
      </c>
      <c r="I95" s="28">
        <v>0</v>
      </c>
      <c r="J95" s="21"/>
      <c r="K95" s="114"/>
      <c r="L95" s="21"/>
      <c r="M95" s="21"/>
      <c r="N95" s="21"/>
      <c r="O95" s="21"/>
    </row>
    <row r="96" spans="1:16" s="7" customFormat="1" x14ac:dyDescent="0.2">
      <c r="A96" s="17" t="s">
        <v>404</v>
      </c>
      <c r="B96" s="50">
        <v>900</v>
      </c>
      <c r="C96" s="19" t="s">
        <v>31</v>
      </c>
      <c r="D96" s="19" t="s">
        <v>14</v>
      </c>
      <c r="E96" s="19" t="s">
        <v>405</v>
      </c>
      <c r="F96" s="19"/>
      <c r="G96" s="20">
        <f>G97</f>
        <v>50</v>
      </c>
      <c r="H96" s="20">
        <f t="shared" ref="H96:I96" si="15">H97</f>
        <v>0</v>
      </c>
      <c r="I96" s="20">
        <f t="shared" si="15"/>
        <v>0</v>
      </c>
      <c r="J96" s="29"/>
      <c r="K96" s="114"/>
      <c r="L96" s="29"/>
      <c r="M96" s="29"/>
      <c r="N96" s="29"/>
      <c r="O96" s="29"/>
      <c r="P96" s="29"/>
    </row>
    <row r="97" spans="1:16" s="7" customFormat="1" x14ac:dyDescent="0.2">
      <c r="A97" s="31" t="s">
        <v>72</v>
      </c>
      <c r="B97" s="35">
        <v>900</v>
      </c>
      <c r="C97" s="27" t="s">
        <v>31</v>
      </c>
      <c r="D97" s="27" t="s">
        <v>14</v>
      </c>
      <c r="E97" s="27" t="s">
        <v>405</v>
      </c>
      <c r="F97" s="27" t="s">
        <v>73</v>
      </c>
      <c r="G97" s="28">
        <v>50</v>
      </c>
      <c r="H97" s="28">
        <v>0</v>
      </c>
      <c r="I97" s="28">
        <v>0</v>
      </c>
      <c r="J97" s="21"/>
      <c r="K97" s="114"/>
      <c r="L97" s="21"/>
      <c r="M97" s="21"/>
      <c r="N97" s="21"/>
      <c r="O97" s="21"/>
      <c r="P97" s="21"/>
    </row>
    <row r="98" spans="1:16" s="3" customFormat="1" x14ac:dyDescent="0.2">
      <c r="A98" s="13" t="s">
        <v>37</v>
      </c>
      <c r="B98" s="49">
        <v>900</v>
      </c>
      <c r="C98" s="1" t="s">
        <v>19</v>
      </c>
      <c r="D98" s="1"/>
      <c r="E98" s="1"/>
      <c r="F98" s="1"/>
      <c r="G98" s="2">
        <f t="shared" ref="G98:I99" si="16">G99</f>
        <v>148.69999999999999</v>
      </c>
      <c r="H98" s="2">
        <f t="shared" si="16"/>
        <v>148.69999999999999</v>
      </c>
      <c r="I98" s="2">
        <f t="shared" si="16"/>
        <v>148.69999999999999</v>
      </c>
      <c r="K98" s="116"/>
    </row>
    <row r="99" spans="1:16" s="9" customFormat="1" x14ac:dyDescent="0.2">
      <c r="A99" s="11" t="s">
        <v>40</v>
      </c>
      <c r="B99" s="14">
        <v>900</v>
      </c>
      <c r="C99" s="8" t="s">
        <v>19</v>
      </c>
      <c r="D99" s="8" t="s">
        <v>19</v>
      </c>
      <c r="E99" s="8"/>
      <c r="F99" s="8"/>
      <c r="G99" s="4">
        <f t="shared" si="16"/>
        <v>148.69999999999999</v>
      </c>
      <c r="H99" s="4">
        <f t="shared" si="16"/>
        <v>148.69999999999999</v>
      </c>
      <c r="I99" s="4">
        <f t="shared" si="16"/>
        <v>148.69999999999999</v>
      </c>
      <c r="K99" s="116"/>
    </row>
    <row r="100" spans="1:16" ht="25.5" x14ac:dyDescent="0.2">
      <c r="A100" s="18" t="s">
        <v>181</v>
      </c>
      <c r="B100" s="22">
        <v>900</v>
      </c>
      <c r="C100" s="19" t="s">
        <v>19</v>
      </c>
      <c r="D100" s="19" t="s">
        <v>19</v>
      </c>
      <c r="E100" s="19" t="s">
        <v>180</v>
      </c>
      <c r="F100" s="19"/>
      <c r="G100" s="20">
        <f>G101+G102</f>
        <v>148.69999999999999</v>
      </c>
      <c r="H100" s="20">
        <f>H101+H102</f>
        <v>148.69999999999999</v>
      </c>
      <c r="I100" s="20">
        <f>I101+I102</f>
        <v>148.69999999999999</v>
      </c>
      <c r="K100" s="116"/>
    </row>
    <row r="101" spans="1:16" s="29" customFormat="1" ht="25.5" x14ac:dyDescent="0.2">
      <c r="A101" s="31" t="s">
        <v>76</v>
      </c>
      <c r="B101" s="35">
        <v>900</v>
      </c>
      <c r="C101" s="27" t="s">
        <v>19</v>
      </c>
      <c r="D101" s="27" t="s">
        <v>19</v>
      </c>
      <c r="E101" s="27" t="s">
        <v>180</v>
      </c>
      <c r="F101" s="30" t="s">
        <v>68</v>
      </c>
      <c r="G101" s="28">
        <f>20+45+24+23+25.2</f>
        <v>137.19999999999999</v>
      </c>
      <c r="H101" s="28">
        <f>20+45+24+23</f>
        <v>112</v>
      </c>
      <c r="I101" s="28">
        <f>20+45+24+23</f>
        <v>112</v>
      </c>
      <c r="J101" s="21"/>
      <c r="K101" s="116"/>
      <c r="L101" s="21"/>
      <c r="M101" s="21"/>
    </row>
    <row r="102" spans="1:16" s="29" customFormat="1" x14ac:dyDescent="0.2">
      <c r="A102" s="31" t="s">
        <v>69</v>
      </c>
      <c r="B102" s="35">
        <v>900</v>
      </c>
      <c r="C102" s="27" t="s">
        <v>19</v>
      </c>
      <c r="D102" s="27" t="s">
        <v>19</v>
      </c>
      <c r="E102" s="27" t="s">
        <v>180</v>
      </c>
      <c r="F102" s="30" t="s">
        <v>70</v>
      </c>
      <c r="G102" s="28">
        <f>36.7-25.2</f>
        <v>11.500000000000004</v>
      </c>
      <c r="H102" s="28">
        <v>36.700000000000003</v>
      </c>
      <c r="I102" s="28">
        <v>36.700000000000003</v>
      </c>
      <c r="J102" s="21"/>
      <c r="K102" s="116"/>
      <c r="L102" s="21"/>
      <c r="M102" s="21"/>
    </row>
    <row r="103" spans="1:16" s="3" customFormat="1" x14ac:dyDescent="0.2">
      <c r="A103" s="13" t="s">
        <v>52</v>
      </c>
      <c r="B103" s="49">
        <v>900</v>
      </c>
      <c r="C103" s="1" t="s">
        <v>51</v>
      </c>
      <c r="D103" s="1"/>
      <c r="E103" s="1"/>
      <c r="F103" s="1"/>
      <c r="G103" s="2">
        <f>G104+G120</f>
        <v>243584.41085000001</v>
      </c>
      <c r="H103" s="2">
        <f>H104+H120</f>
        <v>219115.1</v>
      </c>
      <c r="I103" s="2">
        <f>I104+I120</f>
        <v>154614.9</v>
      </c>
      <c r="K103" s="116"/>
    </row>
    <row r="104" spans="1:16" s="9" customFormat="1" x14ac:dyDescent="0.2">
      <c r="A104" s="11" t="s">
        <v>55</v>
      </c>
      <c r="B104" s="14">
        <v>900</v>
      </c>
      <c r="C104" s="8" t="s">
        <v>51</v>
      </c>
      <c r="D104" s="8" t="s">
        <v>16</v>
      </c>
      <c r="E104" s="8"/>
      <c r="F104" s="8"/>
      <c r="G104" s="4">
        <f>G107+G116+G105+G112+G118+G110</f>
        <v>241710.81085000001</v>
      </c>
      <c r="H104" s="4">
        <f>H107+H116+H105+H112+H118+H110</f>
        <v>219000.2</v>
      </c>
      <c r="I104" s="4">
        <f>I107+I116+I105+I112+I118+I110</f>
        <v>154500</v>
      </c>
      <c r="K104" s="116"/>
    </row>
    <row r="105" spans="1:16" ht="52.5" customHeight="1" x14ac:dyDescent="0.2">
      <c r="A105" s="18" t="s">
        <v>393</v>
      </c>
      <c r="B105" s="18">
        <v>900</v>
      </c>
      <c r="C105" s="19" t="s">
        <v>51</v>
      </c>
      <c r="D105" s="19" t="s">
        <v>16</v>
      </c>
      <c r="E105" s="19" t="s">
        <v>392</v>
      </c>
      <c r="F105" s="19"/>
      <c r="G105" s="20">
        <f>G106</f>
        <v>595.09599999999989</v>
      </c>
      <c r="H105" s="20">
        <f>H106</f>
        <v>0</v>
      </c>
      <c r="I105" s="20">
        <f>I106</f>
        <v>1190.0999999999999</v>
      </c>
      <c r="K105" s="114"/>
    </row>
    <row r="106" spans="1:16" ht="25.5" x14ac:dyDescent="0.2">
      <c r="A106" s="31" t="s">
        <v>83</v>
      </c>
      <c r="B106" s="31">
        <v>900</v>
      </c>
      <c r="C106" s="27" t="s">
        <v>51</v>
      </c>
      <c r="D106" s="27" t="s">
        <v>16</v>
      </c>
      <c r="E106" s="27" t="s">
        <v>392</v>
      </c>
      <c r="F106" s="27" t="s">
        <v>71</v>
      </c>
      <c r="G106" s="28">
        <f>1190.1-595.004</f>
        <v>595.09599999999989</v>
      </c>
      <c r="H106" s="28">
        <v>0</v>
      </c>
      <c r="I106" s="28">
        <v>1190.0999999999999</v>
      </c>
      <c r="K106" s="114"/>
    </row>
    <row r="107" spans="1:16" ht="63.75" x14ac:dyDescent="0.2">
      <c r="A107" s="18" t="s">
        <v>184</v>
      </c>
      <c r="B107" s="22">
        <v>900</v>
      </c>
      <c r="C107" s="19" t="s">
        <v>51</v>
      </c>
      <c r="D107" s="19" t="s">
        <v>16</v>
      </c>
      <c r="E107" s="19" t="s">
        <v>90</v>
      </c>
      <c r="F107" s="19"/>
      <c r="G107" s="20">
        <f>G109+G108</f>
        <v>2380.11</v>
      </c>
      <c r="H107" s="20">
        <f>H109</f>
        <v>3570.2000000000003</v>
      </c>
      <c r="I107" s="20">
        <f>I109</f>
        <v>2380.1</v>
      </c>
      <c r="K107" s="114"/>
    </row>
    <row r="108" spans="1:16" x14ac:dyDescent="0.2">
      <c r="A108" s="87" t="s">
        <v>69</v>
      </c>
      <c r="B108" s="31">
        <v>900</v>
      </c>
      <c r="C108" s="27" t="s">
        <v>51</v>
      </c>
      <c r="D108" s="27" t="s">
        <v>16</v>
      </c>
      <c r="E108" s="27" t="s">
        <v>416</v>
      </c>
      <c r="F108" s="27" t="s">
        <v>70</v>
      </c>
      <c r="G108" s="20">
        <v>2380.11</v>
      </c>
      <c r="H108" s="20"/>
      <c r="I108" s="20"/>
      <c r="K108" s="114"/>
    </row>
    <row r="109" spans="1:16" s="29" customFormat="1" ht="25.5" x14ac:dyDescent="0.2">
      <c r="A109" s="31" t="s">
        <v>83</v>
      </c>
      <c r="B109" s="31">
        <v>900</v>
      </c>
      <c r="C109" s="27" t="s">
        <v>51</v>
      </c>
      <c r="D109" s="27" t="s">
        <v>16</v>
      </c>
      <c r="E109" s="27" t="s">
        <v>90</v>
      </c>
      <c r="F109" s="27" t="s">
        <v>71</v>
      </c>
      <c r="G109" s="28">
        <f>1485.2+894.9+0.01-2380.11</f>
        <v>0</v>
      </c>
      <c r="H109" s="28">
        <f>3578.4-8.2</f>
        <v>3570.2000000000003</v>
      </c>
      <c r="I109" s="28">
        <f>3746.1-1366</f>
        <v>2380.1</v>
      </c>
      <c r="J109" s="21"/>
      <c r="K109" s="114"/>
      <c r="L109" s="21"/>
      <c r="M109" s="21"/>
    </row>
    <row r="110" spans="1:16" ht="25.5" x14ac:dyDescent="0.2">
      <c r="A110" s="18" t="s">
        <v>363</v>
      </c>
      <c r="B110" s="22">
        <v>900</v>
      </c>
      <c r="C110" s="19" t="s">
        <v>51</v>
      </c>
      <c r="D110" s="19" t="s">
        <v>16</v>
      </c>
      <c r="E110" s="19" t="s">
        <v>362</v>
      </c>
      <c r="F110" s="19"/>
      <c r="G110" s="20">
        <f>G111</f>
        <v>10990.7</v>
      </c>
      <c r="H110" s="20">
        <f>H111</f>
        <v>0</v>
      </c>
      <c r="I110" s="20">
        <f>I111</f>
        <v>0</v>
      </c>
      <c r="K110" s="114"/>
    </row>
    <row r="111" spans="1:16" s="29" customFormat="1" ht="25.5" x14ac:dyDescent="0.2">
      <c r="A111" s="31" t="s">
        <v>83</v>
      </c>
      <c r="B111" s="31">
        <v>900</v>
      </c>
      <c r="C111" s="27" t="s">
        <v>51</v>
      </c>
      <c r="D111" s="27" t="s">
        <v>16</v>
      </c>
      <c r="E111" s="27" t="s">
        <v>362</v>
      </c>
      <c r="F111" s="27" t="s">
        <v>71</v>
      </c>
      <c r="G111" s="28">
        <v>10990.7</v>
      </c>
      <c r="H111" s="28">
        <v>0</v>
      </c>
      <c r="I111" s="28">
        <v>0</v>
      </c>
      <c r="J111" s="21"/>
      <c r="K111" s="114"/>
      <c r="L111" s="21"/>
      <c r="M111" s="21"/>
    </row>
    <row r="112" spans="1:16" ht="38.25" x14ac:dyDescent="0.2">
      <c r="A112" s="18" t="s">
        <v>351</v>
      </c>
      <c r="B112" s="22">
        <v>900</v>
      </c>
      <c r="C112" s="19" t="s">
        <v>51</v>
      </c>
      <c r="D112" s="19" t="s">
        <v>16</v>
      </c>
      <c r="E112" s="19" t="s">
        <v>175</v>
      </c>
      <c r="F112" s="19"/>
      <c r="G112" s="20">
        <f>G113</f>
        <v>940</v>
      </c>
      <c r="H112" s="20">
        <f>H113</f>
        <v>203.7</v>
      </c>
      <c r="I112" s="20">
        <f>I113</f>
        <v>435.9</v>
      </c>
      <c r="K112" s="114"/>
    </row>
    <row r="113" spans="1:13" s="29" customFormat="1" ht="25.5" x14ac:dyDescent="0.2">
      <c r="A113" s="31" t="s">
        <v>83</v>
      </c>
      <c r="B113" s="35">
        <v>900</v>
      </c>
      <c r="C113" s="27" t="s">
        <v>51</v>
      </c>
      <c r="D113" s="27" t="s">
        <v>16</v>
      </c>
      <c r="E113" s="27" t="s">
        <v>175</v>
      </c>
      <c r="F113" s="27" t="s">
        <v>71</v>
      </c>
      <c r="G113" s="28">
        <v>940</v>
      </c>
      <c r="H113" s="28">
        <v>203.7</v>
      </c>
      <c r="I113" s="28">
        <v>435.9</v>
      </c>
      <c r="J113" s="21"/>
      <c r="K113" s="114"/>
      <c r="L113" s="21"/>
      <c r="M113" s="21"/>
    </row>
    <row r="114" spans="1:13" ht="38.25" x14ac:dyDescent="0.2">
      <c r="A114" s="18" t="s">
        <v>349</v>
      </c>
      <c r="B114" s="22">
        <v>900</v>
      </c>
      <c r="C114" s="19" t="s">
        <v>51</v>
      </c>
      <c r="D114" s="19" t="s">
        <v>16</v>
      </c>
      <c r="E114" s="19" t="s">
        <v>136</v>
      </c>
      <c r="F114" s="19"/>
      <c r="G114" s="20">
        <f>G115</f>
        <v>0</v>
      </c>
      <c r="H114" s="20">
        <f>H115</f>
        <v>0</v>
      </c>
      <c r="I114" s="20">
        <f>I115</f>
        <v>0</v>
      </c>
      <c r="K114" s="114"/>
    </row>
    <row r="115" spans="1:13" s="29" customFormat="1" x14ac:dyDescent="0.2">
      <c r="A115" s="87" t="s">
        <v>69</v>
      </c>
      <c r="B115" s="35">
        <v>900</v>
      </c>
      <c r="C115" s="27" t="s">
        <v>51</v>
      </c>
      <c r="D115" s="27" t="s">
        <v>16</v>
      </c>
      <c r="E115" s="27" t="s">
        <v>136</v>
      </c>
      <c r="F115" s="33">
        <v>300</v>
      </c>
      <c r="G115" s="28">
        <f>1941.1-1941.1</f>
        <v>0</v>
      </c>
      <c r="H115" s="28">
        <f>369.2-369.2</f>
        <v>0</v>
      </c>
      <c r="I115" s="28">
        <f>1005.4-1005.4</f>
        <v>0</v>
      </c>
      <c r="J115" s="21"/>
      <c r="K115" s="114"/>
      <c r="L115" s="21"/>
      <c r="M115" s="21"/>
    </row>
    <row r="116" spans="1:13" ht="25.5" x14ac:dyDescent="0.2">
      <c r="A116" s="18" t="s">
        <v>409</v>
      </c>
      <c r="B116" s="22">
        <v>900</v>
      </c>
      <c r="C116" s="19" t="s">
        <v>51</v>
      </c>
      <c r="D116" s="19" t="s">
        <v>16</v>
      </c>
      <c r="E116" s="19" t="s">
        <v>408</v>
      </c>
      <c r="F116" s="19"/>
      <c r="G116" s="20">
        <f>G117</f>
        <v>5477.0048499999994</v>
      </c>
      <c r="H116" s="20">
        <f>H117</f>
        <v>369.2</v>
      </c>
      <c r="I116" s="20">
        <f>I117</f>
        <v>1005.4</v>
      </c>
      <c r="K116" s="114"/>
    </row>
    <row r="117" spans="1:13" s="29" customFormat="1" x14ac:dyDescent="0.2">
      <c r="A117" s="87" t="s">
        <v>69</v>
      </c>
      <c r="B117" s="35">
        <v>900</v>
      </c>
      <c r="C117" s="27" t="s">
        <v>51</v>
      </c>
      <c r="D117" s="27" t="s">
        <v>16</v>
      </c>
      <c r="E117" s="27" t="s">
        <v>408</v>
      </c>
      <c r="F117" s="33">
        <v>300</v>
      </c>
      <c r="G117" s="28">
        <f>1941.1+3535.90485</f>
        <v>5477.0048499999994</v>
      </c>
      <c r="H117" s="28">
        <v>369.2</v>
      </c>
      <c r="I117" s="28">
        <v>1005.4</v>
      </c>
      <c r="J117" s="21"/>
      <c r="K117" s="114"/>
      <c r="L117" s="21"/>
      <c r="M117" s="21"/>
    </row>
    <row r="118" spans="1:13" ht="25.5" x14ac:dyDescent="0.2">
      <c r="A118" s="18" t="s">
        <v>174</v>
      </c>
      <c r="B118" s="22">
        <v>900</v>
      </c>
      <c r="C118" s="19" t="s">
        <v>51</v>
      </c>
      <c r="D118" s="19" t="s">
        <v>16</v>
      </c>
      <c r="E118" s="19" t="s">
        <v>91</v>
      </c>
      <c r="F118" s="19"/>
      <c r="G118" s="20">
        <f t="shared" ref="G118:I118" si="17">G119</f>
        <v>221327.9</v>
      </c>
      <c r="H118" s="20">
        <f t="shared" si="17"/>
        <v>214857.1</v>
      </c>
      <c r="I118" s="20">
        <f t="shared" si="17"/>
        <v>149488.5</v>
      </c>
      <c r="K118" s="116"/>
    </row>
    <row r="119" spans="1:13" s="29" customFormat="1" x14ac:dyDescent="0.2">
      <c r="A119" s="31" t="s">
        <v>69</v>
      </c>
      <c r="B119" s="35">
        <v>900</v>
      </c>
      <c r="C119" s="27" t="s">
        <v>51</v>
      </c>
      <c r="D119" s="27" t="s">
        <v>16</v>
      </c>
      <c r="E119" s="27" t="s">
        <v>91</v>
      </c>
      <c r="F119" s="27" t="s">
        <v>70</v>
      </c>
      <c r="G119" s="28">
        <f>221327.9-10000+10000</f>
        <v>221327.9</v>
      </c>
      <c r="H119" s="28">
        <v>214857.1</v>
      </c>
      <c r="I119" s="28">
        <v>149488.5</v>
      </c>
      <c r="J119" s="21"/>
      <c r="K119" s="116"/>
      <c r="L119" s="21"/>
      <c r="M119" s="21"/>
    </row>
    <row r="120" spans="1:13" s="9" customFormat="1" x14ac:dyDescent="0.2">
      <c r="A120" s="11" t="s">
        <v>57</v>
      </c>
      <c r="B120" s="14">
        <v>900</v>
      </c>
      <c r="C120" s="8" t="s">
        <v>51</v>
      </c>
      <c r="D120" s="8" t="s">
        <v>50</v>
      </c>
      <c r="E120" s="8"/>
      <c r="F120" s="8"/>
      <c r="G120" s="4">
        <f>G121+G124</f>
        <v>1873.6000000000001</v>
      </c>
      <c r="H120" s="4">
        <f t="shared" ref="H120:I120" si="18">H121+H124</f>
        <v>114.89999999999999</v>
      </c>
      <c r="I120" s="4">
        <f t="shared" si="18"/>
        <v>114.89999999999999</v>
      </c>
      <c r="K120" s="114"/>
    </row>
    <row r="121" spans="1:13" x14ac:dyDescent="0.2">
      <c r="A121" s="18" t="s">
        <v>190</v>
      </c>
      <c r="B121" s="22">
        <v>900</v>
      </c>
      <c r="C121" s="19" t="s">
        <v>51</v>
      </c>
      <c r="D121" s="19" t="s">
        <v>50</v>
      </c>
      <c r="E121" s="19" t="s">
        <v>189</v>
      </c>
      <c r="F121" s="19"/>
      <c r="G121" s="20">
        <f>G123+G122</f>
        <v>114.89999999999999</v>
      </c>
      <c r="H121" s="20">
        <f>H123+H122</f>
        <v>114.89999999999999</v>
      </c>
      <c r="I121" s="20">
        <f>I123+I122</f>
        <v>114.89999999999999</v>
      </c>
      <c r="K121" s="114"/>
    </row>
    <row r="122" spans="1:13" s="29" customFormat="1" ht="25.5" x14ac:dyDescent="0.2">
      <c r="A122" s="31" t="s">
        <v>76</v>
      </c>
      <c r="B122" s="26">
        <v>900</v>
      </c>
      <c r="C122" s="27" t="s">
        <v>51</v>
      </c>
      <c r="D122" s="27" t="s">
        <v>50</v>
      </c>
      <c r="E122" s="27" t="s">
        <v>189</v>
      </c>
      <c r="F122" s="30" t="s">
        <v>68</v>
      </c>
      <c r="G122" s="28">
        <v>0.6</v>
      </c>
      <c r="H122" s="28">
        <v>0.6</v>
      </c>
      <c r="I122" s="28">
        <v>0.6</v>
      </c>
      <c r="K122" s="114"/>
    </row>
    <row r="123" spans="1:13" s="29" customFormat="1" x14ac:dyDescent="0.2">
      <c r="A123" s="31" t="s">
        <v>69</v>
      </c>
      <c r="B123" s="35">
        <v>900</v>
      </c>
      <c r="C123" s="27" t="s">
        <v>51</v>
      </c>
      <c r="D123" s="27" t="s">
        <v>50</v>
      </c>
      <c r="E123" s="27" t="s">
        <v>189</v>
      </c>
      <c r="F123" s="27" t="s">
        <v>70</v>
      </c>
      <c r="G123" s="28">
        <v>114.3</v>
      </c>
      <c r="H123" s="28">
        <v>114.3</v>
      </c>
      <c r="I123" s="28">
        <v>114.3</v>
      </c>
      <c r="K123" s="114"/>
    </row>
    <row r="124" spans="1:13" x14ac:dyDescent="0.2">
      <c r="A124" s="18" t="s">
        <v>182</v>
      </c>
      <c r="B124" s="22">
        <v>900</v>
      </c>
      <c r="C124" s="19" t="s">
        <v>51</v>
      </c>
      <c r="D124" s="19" t="s">
        <v>50</v>
      </c>
      <c r="E124" s="19" t="s">
        <v>183</v>
      </c>
      <c r="F124" s="19"/>
      <c r="G124" s="20">
        <f>G125</f>
        <v>1758.7</v>
      </c>
      <c r="H124" s="20">
        <f>H125</f>
        <v>0</v>
      </c>
      <c r="I124" s="20">
        <f>I125</f>
        <v>0</v>
      </c>
      <c r="K124" s="114"/>
    </row>
    <row r="125" spans="1:13" s="29" customFormat="1" ht="25.5" x14ac:dyDescent="0.2">
      <c r="A125" s="31" t="s">
        <v>83</v>
      </c>
      <c r="B125" s="35">
        <v>900</v>
      </c>
      <c r="C125" s="27" t="s">
        <v>51</v>
      </c>
      <c r="D125" s="27" t="s">
        <v>50</v>
      </c>
      <c r="E125" s="27" t="s">
        <v>183</v>
      </c>
      <c r="F125" s="27" t="s">
        <v>71</v>
      </c>
      <c r="G125" s="28">
        <v>1758.7</v>
      </c>
      <c r="H125" s="28">
        <v>0</v>
      </c>
      <c r="I125" s="28">
        <v>0</v>
      </c>
      <c r="J125" s="21"/>
      <c r="K125" s="114"/>
      <c r="L125" s="21"/>
      <c r="M125" s="21"/>
    </row>
    <row r="126" spans="1:13" s="3" customFormat="1" ht="25.5" x14ac:dyDescent="0.2">
      <c r="A126" s="13" t="s">
        <v>20</v>
      </c>
      <c r="B126" s="49">
        <v>900</v>
      </c>
      <c r="C126" s="1" t="s">
        <v>61</v>
      </c>
      <c r="D126" s="1"/>
      <c r="E126" s="1"/>
      <c r="F126" s="1"/>
      <c r="G126" s="2">
        <f t="shared" ref="G126:I128" si="19">G127</f>
        <v>3454.1</v>
      </c>
      <c r="H126" s="2">
        <f t="shared" si="19"/>
        <v>3454.1</v>
      </c>
      <c r="I126" s="2">
        <f t="shared" si="19"/>
        <v>3454.1</v>
      </c>
      <c r="K126" s="114"/>
    </row>
    <row r="127" spans="1:13" s="9" customFormat="1" ht="25.5" x14ac:dyDescent="0.2">
      <c r="A127" s="11" t="s">
        <v>3</v>
      </c>
      <c r="B127" s="14">
        <v>900</v>
      </c>
      <c r="C127" s="8" t="s">
        <v>61</v>
      </c>
      <c r="D127" s="8" t="s">
        <v>12</v>
      </c>
      <c r="E127" s="8"/>
      <c r="F127" s="8"/>
      <c r="G127" s="4">
        <f t="shared" si="19"/>
        <v>3454.1</v>
      </c>
      <c r="H127" s="4">
        <f t="shared" si="19"/>
        <v>3454.1</v>
      </c>
      <c r="I127" s="4">
        <f t="shared" si="19"/>
        <v>3454.1</v>
      </c>
      <c r="K127" s="114"/>
    </row>
    <row r="128" spans="1:13" ht="25.5" x14ac:dyDescent="0.2">
      <c r="A128" s="18" t="s">
        <v>192</v>
      </c>
      <c r="B128" s="22">
        <v>900</v>
      </c>
      <c r="C128" s="19" t="s">
        <v>61</v>
      </c>
      <c r="D128" s="19" t="s">
        <v>12</v>
      </c>
      <c r="E128" s="19" t="s">
        <v>191</v>
      </c>
      <c r="F128" s="19"/>
      <c r="G128" s="20">
        <f t="shared" si="19"/>
        <v>3454.1</v>
      </c>
      <c r="H128" s="20">
        <f t="shared" si="19"/>
        <v>3454.1</v>
      </c>
      <c r="I128" s="20">
        <f t="shared" si="19"/>
        <v>3454.1</v>
      </c>
      <c r="K128" s="114"/>
    </row>
    <row r="129" spans="1:16" s="29" customFormat="1" x14ac:dyDescent="0.2">
      <c r="A129" s="31" t="s">
        <v>74</v>
      </c>
      <c r="B129" s="35">
        <v>900</v>
      </c>
      <c r="C129" s="27" t="s">
        <v>61</v>
      </c>
      <c r="D129" s="27" t="s">
        <v>12</v>
      </c>
      <c r="E129" s="19" t="s">
        <v>191</v>
      </c>
      <c r="F129" s="27" t="s">
        <v>75</v>
      </c>
      <c r="G129" s="28">
        <v>3454.1</v>
      </c>
      <c r="H129" s="28">
        <v>3454.1</v>
      </c>
      <c r="I129" s="28">
        <v>3454.1</v>
      </c>
      <c r="J129" s="21"/>
      <c r="K129" s="114"/>
      <c r="L129" s="21"/>
      <c r="M129" s="21"/>
    </row>
    <row r="130" spans="1:16" x14ac:dyDescent="0.2">
      <c r="A130" s="18" t="s">
        <v>382</v>
      </c>
      <c r="B130" s="22">
        <v>900</v>
      </c>
      <c r="C130" s="19" t="s">
        <v>383</v>
      </c>
      <c r="D130" s="19"/>
      <c r="E130" s="19"/>
      <c r="F130" s="19"/>
      <c r="G130" s="20"/>
      <c r="H130" s="20">
        <f t="shared" ref="H130:I132" si="20">H131</f>
        <v>19446.400000000001</v>
      </c>
      <c r="I130" s="20">
        <f t="shared" si="20"/>
        <v>40381.799999999996</v>
      </c>
      <c r="K130" s="114"/>
    </row>
    <row r="131" spans="1:16" x14ac:dyDescent="0.2">
      <c r="A131" s="18" t="s">
        <v>382</v>
      </c>
      <c r="B131" s="22">
        <v>900</v>
      </c>
      <c r="C131" s="19" t="s">
        <v>383</v>
      </c>
      <c r="D131" s="16" t="s">
        <v>383</v>
      </c>
      <c r="E131" s="19"/>
      <c r="F131" s="19"/>
      <c r="G131" s="20"/>
      <c r="H131" s="20">
        <f t="shared" si="20"/>
        <v>19446.400000000001</v>
      </c>
      <c r="I131" s="20">
        <f t="shared" si="20"/>
        <v>40381.799999999996</v>
      </c>
      <c r="K131" s="114"/>
    </row>
    <row r="132" spans="1:16" x14ac:dyDescent="0.2">
      <c r="A132" s="18" t="s">
        <v>382</v>
      </c>
      <c r="B132" s="22">
        <v>900</v>
      </c>
      <c r="C132" s="19" t="s">
        <v>383</v>
      </c>
      <c r="D132" s="19" t="s">
        <v>383</v>
      </c>
      <c r="E132" s="19" t="s">
        <v>384</v>
      </c>
      <c r="F132" s="19"/>
      <c r="G132" s="20"/>
      <c r="H132" s="20">
        <f t="shared" si="20"/>
        <v>19446.400000000001</v>
      </c>
      <c r="I132" s="20">
        <f t="shared" si="20"/>
        <v>40381.799999999996</v>
      </c>
      <c r="K132" s="114"/>
    </row>
    <row r="133" spans="1:16" s="29" customFormat="1" x14ac:dyDescent="0.2">
      <c r="A133" s="31" t="s">
        <v>382</v>
      </c>
      <c r="B133" s="35">
        <v>900</v>
      </c>
      <c r="C133" s="27" t="s">
        <v>383</v>
      </c>
      <c r="D133" s="27" t="s">
        <v>383</v>
      </c>
      <c r="E133" s="19" t="s">
        <v>384</v>
      </c>
      <c r="F133" s="27" t="s">
        <v>73</v>
      </c>
      <c r="G133" s="28">
        <v>0</v>
      </c>
      <c r="H133" s="28">
        <f>19136.9+309.5</f>
        <v>19446.400000000001</v>
      </c>
      <c r="I133" s="28">
        <f>39722.6+659.2</f>
        <v>40381.799999999996</v>
      </c>
      <c r="K133" s="114"/>
      <c r="L133" s="21"/>
      <c r="M133" s="21"/>
      <c r="N133" s="21"/>
      <c r="O133" s="21"/>
      <c r="P133" s="21"/>
    </row>
    <row r="134" spans="1:16" s="9" customFormat="1" ht="38.25" x14ac:dyDescent="0.2">
      <c r="A134" s="47" t="s">
        <v>34</v>
      </c>
      <c r="B134" s="44">
        <v>904</v>
      </c>
      <c r="C134" s="48"/>
      <c r="D134" s="48"/>
      <c r="E134" s="48"/>
      <c r="F134" s="48"/>
      <c r="G134" s="46">
        <f>G135+G146</f>
        <v>71705.700000000012</v>
      </c>
      <c r="H134" s="46">
        <f>H135+H146</f>
        <v>51072.5</v>
      </c>
      <c r="I134" s="46">
        <f>I135+I146</f>
        <v>51072.5</v>
      </c>
      <c r="J134" s="72"/>
      <c r="K134" s="114"/>
    </row>
    <row r="135" spans="1:16" s="3" customFormat="1" x14ac:dyDescent="0.2">
      <c r="A135" s="13" t="s">
        <v>37</v>
      </c>
      <c r="B135" s="49">
        <v>904</v>
      </c>
      <c r="C135" s="1" t="s">
        <v>19</v>
      </c>
      <c r="D135" s="1"/>
      <c r="E135" s="1"/>
      <c r="F135" s="1"/>
      <c r="G135" s="2">
        <f>G136+G141</f>
        <v>23888.5</v>
      </c>
      <c r="H135" s="2">
        <f>H136+H141</f>
        <v>19863.799999999996</v>
      </c>
      <c r="I135" s="2">
        <f>I136+I141</f>
        <v>19863.799999999996</v>
      </c>
      <c r="K135" s="116"/>
    </row>
    <row r="136" spans="1:16" s="9" customFormat="1" x14ac:dyDescent="0.2">
      <c r="A136" s="11" t="s">
        <v>341</v>
      </c>
      <c r="B136" s="14">
        <v>904</v>
      </c>
      <c r="C136" s="8" t="s">
        <v>19</v>
      </c>
      <c r="D136" s="8" t="s">
        <v>16</v>
      </c>
      <c r="E136" s="8"/>
      <c r="F136" s="8"/>
      <c r="G136" s="4">
        <f>G139+G137</f>
        <v>20386.399999999998</v>
      </c>
      <c r="H136" s="4">
        <f t="shared" ref="H136:I136" si="21">H139+H137</f>
        <v>17162.699999999997</v>
      </c>
      <c r="I136" s="4">
        <f t="shared" si="21"/>
        <v>17162.699999999997</v>
      </c>
      <c r="K136" s="114"/>
    </row>
    <row r="137" spans="1:16" ht="25.5" x14ac:dyDescent="0.2">
      <c r="A137" s="17" t="s">
        <v>166</v>
      </c>
      <c r="B137" s="17">
        <v>904</v>
      </c>
      <c r="C137" s="19" t="s">
        <v>19</v>
      </c>
      <c r="D137" s="19" t="s">
        <v>16</v>
      </c>
      <c r="E137" s="19" t="s">
        <v>165</v>
      </c>
      <c r="F137" s="5"/>
      <c r="G137" s="6">
        <f>G138</f>
        <v>13</v>
      </c>
      <c r="H137" s="6">
        <f>H138</f>
        <v>13</v>
      </c>
      <c r="I137" s="6">
        <f>I138</f>
        <v>13</v>
      </c>
      <c r="K137" s="114"/>
    </row>
    <row r="138" spans="1:16" ht="25.5" x14ac:dyDescent="0.2">
      <c r="A138" s="31" t="s">
        <v>144</v>
      </c>
      <c r="B138" s="31">
        <v>904</v>
      </c>
      <c r="C138" s="27" t="s">
        <v>19</v>
      </c>
      <c r="D138" s="27" t="s">
        <v>16</v>
      </c>
      <c r="E138" s="27" t="s">
        <v>165</v>
      </c>
      <c r="F138" s="27" t="s">
        <v>65</v>
      </c>
      <c r="G138" s="28">
        <v>13</v>
      </c>
      <c r="H138" s="28">
        <v>13</v>
      </c>
      <c r="I138" s="28">
        <v>13</v>
      </c>
      <c r="K138" s="114"/>
    </row>
    <row r="139" spans="1:16" ht="25.5" x14ac:dyDescent="0.2">
      <c r="A139" s="18" t="s">
        <v>357</v>
      </c>
      <c r="B139" s="22">
        <v>904</v>
      </c>
      <c r="C139" s="19" t="s">
        <v>19</v>
      </c>
      <c r="D139" s="19" t="s">
        <v>16</v>
      </c>
      <c r="E139" s="19" t="s">
        <v>194</v>
      </c>
      <c r="F139" s="19"/>
      <c r="G139" s="20">
        <f>G140</f>
        <v>20373.399999999998</v>
      </c>
      <c r="H139" s="20">
        <f>H140</f>
        <v>17149.699999999997</v>
      </c>
      <c r="I139" s="20">
        <f>I140</f>
        <v>17149.699999999997</v>
      </c>
      <c r="K139" s="116"/>
    </row>
    <row r="140" spans="1:16" s="29" customFormat="1" ht="25.5" x14ac:dyDescent="0.2">
      <c r="A140" s="31" t="s">
        <v>144</v>
      </c>
      <c r="B140" s="35">
        <v>904</v>
      </c>
      <c r="C140" s="27" t="s">
        <v>19</v>
      </c>
      <c r="D140" s="27" t="s">
        <v>16</v>
      </c>
      <c r="E140" s="27" t="s">
        <v>194</v>
      </c>
      <c r="F140" s="27" t="s">
        <v>65</v>
      </c>
      <c r="G140" s="28">
        <f>11274.5+3405.6+427.3+55.9+11.9+5+1969.5+98+15+2690.7+33.7+386.3</f>
        <v>20373.399999999998</v>
      </c>
      <c r="H140" s="28">
        <f>11274.5+3405.6+427.3+55.9+11.9+5+1969.5</f>
        <v>17149.699999999997</v>
      </c>
      <c r="I140" s="28">
        <f>11274.5+3405.6+427.3+55.9+11.9+5+1969.5</f>
        <v>17149.699999999997</v>
      </c>
      <c r="K140" s="116"/>
    </row>
    <row r="141" spans="1:16" s="9" customFormat="1" x14ac:dyDescent="0.2">
      <c r="A141" s="11" t="s">
        <v>41</v>
      </c>
      <c r="B141" s="14">
        <v>904</v>
      </c>
      <c r="C141" s="8" t="s">
        <v>19</v>
      </c>
      <c r="D141" s="8" t="s">
        <v>26</v>
      </c>
      <c r="E141" s="8"/>
      <c r="F141" s="8"/>
      <c r="G141" s="4">
        <f>G142+G144</f>
        <v>3502.1000000000004</v>
      </c>
      <c r="H141" s="4">
        <f t="shared" ref="H141:I141" si="22">H142+H144</f>
        <v>2701.1</v>
      </c>
      <c r="I141" s="4">
        <f t="shared" si="22"/>
        <v>2701.1</v>
      </c>
      <c r="K141" s="116"/>
    </row>
    <row r="142" spans="1:16" ht="25.5" x14ac:dyDescent="0.2">
      <c r="A142" s="18" t="s">
        <v>357</v>
      </c>
      <c r="B142" s="22">
        <v>904</v>
      </c>
      <c r="C142" s="19" t="s">
        <v>19</v>
      </c>
      <c r="D142" s="19" t="s">
        <v>26</v>
      </c>
      <c r="E142" s="19" t="s">
        <v>196</v>
      </c>
      <c r="F142" s="19"/>
      <c r="G142" s="20">
        <f t="shared" ref="G142:I142" si="23">G143</f>
        <v>3430.1000000000004</v>
      </c>
      <c r="H142" s="20">
        <f t="shared" si="23"/>
        <v>2701.1</v>
      </c>
      <c r="I142" s="20">
        <f t="shared" si="23"/>
        <v>2701.1</v>
      </c>
      <c r="K142" s="116"/>
    </row>
    <row r="143" spans="1:16" s="29" customFormat="1" ht="25.5" x14ac:dyDescent="0.2">
      <c r="A143" s="31" t="s">
        <v>144</v>
      </c>
      <c r="B143" s="36">
        <v>904</v>
      </c>
      <c r="C143" s="27" t="s">
        <v>19</v>
      </c>
      <c r="D143" s="27" t="s">
        <v>26</v>
      </c>
      <c r="E143" s="27" t="s">
        <v>196</v>
      </c>
      <c r="F143" s="30" t="s">
        <v>65</v>
      </c>
      <c r="G143" s="28">
        <f>2675.9+25.2+722.7+6.3</f>
        <v>3430.1000000000004</v>
      </c>
      <c r="H143" s="28">
        <f>2675.9+25.2</f>
        <v>2701.1</v>
      </c>
      <c r="I143" s="28">
        <f>2675.9+25.2</f>
        <v>2701.1</v>
      </c>
      <c r="K143" s="116"/>
    </row>
    <row r="144" spans="1:16" ht="25.5" x14ac:dyDescent="0.2">
      <c r="A144" s="18" t="s">
        <v>193</v>
      </c>
      <c r="B144" s="18">
        <v>904</v>
      </c>
      <c r="C144" s="19" t="s">
        <v>19</v>
      </c>
      <c r="D144" s="19" t="s">
        <v>26</v>
      </c>
      <c r="E144" s="19" t="s">
        <v>138</v>
      </c>
      <c r="F144" s="19"/>
      <c r="G144" s="20">
        <f>G145</f>
        <v>72</v>
      </c>
      <c r="H144" s="20">
        <f t="shared" ref="H144:I144" si="24">H145</f>
        <v>0</v>
      </c>
      <c r="I144" s="20">
        <f t="shared" si="24"/>
        <v>0</v>
      </c>
      <c r="K144" s="114"/>
    </row>
    <row r="145" spans="1:11" ht="25.5" x14ac:dyDescent="0.2">
      <c r="A145" s="31" t="s">
        <v>144</v>
      </c>
      <c r="B145" s="31">
        <v>904</v>
      </c>
      <c r="C145" s="27" t="s">
        <v>19</v>
      </c>
      <c r="D145" s="27" t="s">
        <v>26</v>
      </c>
      <c r="E145" s="27" t="s">
        <v>138</v>
      </c>
      <c r="F145" s="27" t="s">
        <v>65</v>
      </c>
      <c r="G145" s="28">
        <v>72</v>
      </c>
      <c r="H145" s="28">
        <v>0</v>
      </c>
      <c r="I145" s="28">
        <v>0</v>
      </c>
      <c r="K145" s="114"/>
    </row>
    <row r="146" spans="1:11" s="3" customFormat="1" x14ac:dyDescent="0.2">
      <c r="A146" s="13" t="s">
        <v>0</v>
      </c>
      <c r="B146" s="49">
        <v>904</v>
      </c>
      <c r="C146" s="1" t="s">
        <v>21</v>
      </c>
      <c r="D146" s="1"/>
      <c r="E146" s="1"/>
      <c r="F146" s="1"/>
      <c r="G146" s="2">
        <f>G147+G158+G161</f>
        <v>47817.200000000012</v>
      </c>
      <c r="H146" s="2">
        <f>H147+H158+H161</f>
        <v>31208.700000000004</v>
      </c>
      <c r="I146" s="2">
        <f>I147+I158+I161</f>
        <v>31208.700000000004</v>
      </c>
      <c r="K146" s="116"/>
    </row>
    <row r="147" spans="1:11" s="9" customFormat="1" x14ac:dyDescent="0.2">
      <c r="A147" s="11" t="s">
        <v>1</v>
      </c>
      <c r="B147" s="14">
        <v>904</v>
      </c>
      <c r="C147" s="8" t="s">
        <v>21</v>
      </c>
      <c r="D147" s="8" t="s">
        <v>12</v>
      </c>
      <c r="E147" s="8"/>
      <c r="F147" s="8"/>
      <c r="G147" s="4">
        <f>G152+G156+G148+G154+G150</f>
        <v>46432.000000000007</v>
      </c>
      <c r="H147" s="4">
        <f>H152+H156+H148+H154+H150</f>
        <v>29942.9</v>
      </c>
      <c r="I147" s="4">
        <f>I152+I156+I148+I154+I150</f>
        <v>29942.9</v>
      </c>
      <c r="K147" s="116"/>
    </row>
    <row r="148" spans="1:11" s="12" customFormat="1" ht="25.5" x14ac:dyDescent="0.2">
      <c r="A148" s="17" t="s">
        <v>166</v>
      </c>
      <c r="B148" s="51">
        <v>904</v>
      </c>
      <c r="C148" s="19" t="s">
        <v>21</v>
      </c>
      <c r="D148" s="19" t="s">
        <v>12</v>
      </c>
      <c r="E148" s="19" t="s">
        <v>165</v>
      </c>
      <c r="F148" s="5"/>
      <c r="G148" s="6">
        <f>G149</f>
        <v>20</v>
      </c>
      <c r="H148" s="6">
        <f>H149</f>
        <v>20</v>
      </c>
      <c r="I148" s="6">
        <f>I149</f>
        <v>20</v>
      </c>
      <c r="K148" s="114"/>
    </row>
    <row r="149" spans="1:11" s="29" customFormat="1" ht="25.5" x14ac:dyDescent="0.2">
      <c r="A149" s="31" t="s">
        <v>144</v>
      </c>
      <c r="B149" s="35">
        <v>904</v>
      </c>
      <c r="C149" s="27" t="s">
        <v>21</v>
      </c>
      <c r="D149" s="27" t="s">
        <v>12</v>
      </c>
      <c r="E149" s="27" t="s">
        <v>165</v>
      </c>
      <c r="F149" s="27" t="s">
        <v>65</v>
      </c>
      <c r="G149" s="28">
        <v>20</v>
      </c>
      <c r="H149" s="28">
        <v>20</v>
      </c>
      <c r="I149" s="28">
        <v>20</v>
      </c>
      <c r="K149" s="114"/>
    </row>
    <row r="150" spans="1:11" x14ac:dyDescent="0.2">
      <c r="A150" s="18" t="s">
        <v>179</v>
      </c>
      <c r="B150" s="22">
        <v>904</v>
      </c>
      <c r="C150" s="19" t="s">
        <v>21</v>
      </c>
      <c r="D150" s="19" t="s">
        <v>12</v>
      </c>
      <c r="E150" s="27" t="s">
        <v>178</v>
      </c>
      <c r="F150" s="19"/>
      <c r="G150" s="20">
        <f>G151</f>
        <v>5300</v>
      </c>
      <c r="H150" s="20">
        <f>H151</f>
        <v>0</v>
      </c>
      <c r="I150" s="20">
        <f>I151</f>
        <v>0</v>
      </c>
      <c r="K150" s="114"/>
    </row>
    <row r="151" spans="1:11" s="29" customFormat="1" ht="25.5" x14ac:dyDescent="0.2">
      <c r="A151" s="31" t="s">
        <v>83</v>
      </c>
      <c r="B151" s="22">
        <v>904</v>
      </c>
      <c r="C151" s="27" t="s">
        <v>21</v>
      </c>
      <c r="D151" s="27" t="s">
        <v>12</v>
      </c>
      <c r="E151" s="27" t="s">
        <v>178</v>
      </c>
      <c r="F151" s="27" t="s">
        <v>71</v>
      </c>
      <c r="G151" s="28">
        <v>5300</v>
      </c>
      <c r="H151" s="28">
        <v>0</v>
      </c>
      <c r="I151" s="28">
        <v>0</v>
      </c>
      <c r="K151" s="114"/>
    </row>
    <row r="152" spans="1:11" ht="25.5" x14ac:dyDescent="0.2">
      <c r="A152" s="18" t="s">
        <v>198</v>
      </c>
      <c r="B152" s="22">
        <v>904</v>
      </c>
      <c r="C152" s="19" t="s">
        <v>21</v>
      </c>
      <c r="D152" s="19" t="s">
        <v>12</v>
      </c>
      <c r="E152" s="19" t="s">
        <v>197</v>
      </c>
      <c r="F152" s="19"/>
      <c r="G152" s="20">
        <f>G153</f>
        <v>14024.800000000001</v>
      </c>
      <c r="H152" s="20">
        <f t="shared" ref="H152:I152" si="25">H153</f>
        <v>8956.3000000000011</v>
      </c>
      <c r="I152" s="20">
        <f t="shared" si="25"/>
        <v>8956.3000000000011</v>
      </c>
      <c r="K152" s="116"/>
    </row>
    <row r="153" spans="1:11" s="29" customFormat="1" ht="25.5" x14ac:dyDescent="0.2">
      <c r="A153" s="31" t="s">
        <v>144</v>
      </c>
      <c r="B153" s="35">
        <v>904</v>
      </c>
      <c r="C153" s="27" t="s">
        <v>21</v>
      </c>
      <c r="D153" s="27" t="s">
        <v>12</v>
      </c>
      <c r="E153" s="27" t="s">
        <v>197</v>
      </c>
      <c r="F153" s="27" t="s">
        <v>65</v>
      </c>
      <c r="G153" s="28">
        <f>8885.6+70.7-98+4398.1+3+36.6+728.8</f>
        <v>14024.800000000001</v>
      </c>
      <c r="H153" s="28">
        <f>8885.6+70.7</f>
        <v>8956.3000000000011</v>
      </c>
      <c r="I153" s="28">
        <f>8885.6+70.7</f>
        <v>8956.3000000000011</v>
      </c>
      <c r="K153" s="116"/>
    </row>
    <row r="154" spans="1:11" ht="38.25" x14ac:dyDescent="0.2">
      <c r="A154" s="18" t="s">
        <v>200</v>
      </c>
      <c r="B154" s="22">
        <v>904</v>
      </c>
      <c r="C154" s="19" t="s">
        <v>21</v>
      </c>
      <c r="D154" s="19" t="s">
        <v>12</v>
      </c>
      <c r="E154" s="19" t="s">
        <v>199</v>
      </c>
      <c r="F154" s="19"/>
      <c r="G154" s="20">
        <f>G155</f>
        <v>150</v>
      </c>
      <c r="H154" s="20">
        <f>H155</f>
        <v>150</v>
      </c>
      <c r="I154" s="20">
        <f>I155</f>
        <v>150</v>
      </c>
      <c r="K154" s="114"/>
    </row>
    <row r="155" spans="1:11" s="29" customFormat="1" ht="25.5" x14ac:dyDescent="0.2">
      <c r="A155" s="31" t="s">
        <v>76</v>
      </c>
      <c r="B155" s="36">
        <v>904</v>
      </c>
      <c r="C155" s="27" t="s">
        <v>21</v>
      </c>
      <c r="D155" s="27" t="s">
        <v>12</v>
      </c>
      <c r="E155" s="27" t="s">
        <v>199</v>
      </c>
      <c r="F155" s="30" t="s">
        <v>68</v>
      </c>
      <c r="G155" s="28">
        <v>150</v>
      </c>
      <c r="H155" s="28">
        <v>150</v>
      </c>
      <c r="I155" s="28">
        <v>150</v>
      </c>
      <c r="K155" s="114"/>
    </row>
    <row r="156" spans="1:11" ht="25.5" x14ac:dyDescent="0.2">
      <c r="A156" s="18" t="s">
        <v>370</v>
      </c>
      <c r="B156" s="22">
        <v>904</v>
      </c>
      <c r="C156" s="19" t="s">
        <v>21</v>
      </c>
      <c r="D156" s="19" t="s">
        <v>12</v>
      </c>
      <c r="E156" s="19" t="s">
        <v>371</v>
      </c>
      <c r="F156" s="19"/>
      <c r="G156" s="20">
        <f>G157</f>
        <v>26937.200000000004</v>
      </c>
      <c r="H156" s="20">
        <f>H157</f>
        <v>20816.600000000002</v>
      </c>
      <c r="I156" s="20">
        <f>I157</f>
        <v>20816.600000000002</v>
      </c>
      <c r="K156" s="116"/>
    </row>
    <row r="157" spans="1:11" s="29" customFormat="1" ht="25.5" x14ac:dyDescent="0.2">
      <c r="A157" s="31" t="s">
        <v>144</v>
      </c>
      <c r="B157" s="36">
        <v>904</v>
      </c>
      <c r="C157" s="27" t="s">
        <v>21</v>
      </c>
      <c r="D157" s="27" t="s">
        <v>12</v>
      </c>
      <c r="E157" s="27" t="s">
        <v>371</v>
      </c>
      <c r="F157" s="30" t="s">
        <v>65</v>
      </c>
      <c r="G157" s="28">
        <f>20716.7+99.9-15+5851.7+142.7-70.3+211.5</f>
        <v>26937.200000000004</v>
      </c>
      <c r="H157" s="28">
        <f>20716.7+99.9</f>
        <v>20816.600000000002</v>
      </c>
      <c r="I157" s="28">
        <f>20716.7+99.9</f>
        <v>20816.600000000002</v>
      </c>
      <c r="K157" s="116"/>
    </row>
    <row r="158" spans="1:11" s="9" customFormat="1" x14ac:dyDescent="0.2">
      <c r="A158" s="11" t="s">
        <v>2</v>
      </c>
      <c r="B158" s="14">
        <v>904</v>
      </c>
      <c r="C158" s="8" t="s">
        <v>21</v>
      </c>
      <c r="D158" s="8" t="s">
        <v>14</v>
      </c>
      <c r="E158" s="8"/>
      <c r="F158" s="8"/>
      <c r="G158" s="4">
        <f t="shared" ref="G158:I159" si="26">G159</f>
        <v>281.89999999999998</v>
      </c>
      <c r="H158" s="4">
        <f t="shared" si="26"/>
        <v>281.89999999999998</v>
      </c>
      <c r="I158" s="4">
        <f t="shared" si="26"/>
        <v>281.89999999999998</v>
      </c>
      <c r="K158" s="114"/>
    </row>
    <row r="159" spans="1:11" ht="25.5" x14ac:dyDescent="0.2">
      <c r="A159" s="18" t="s">
        <v>202</v>
      </c>
      <c r="B159" s="22">
        <v>904</v>
      </c>
      <c r="C159" s="19" t="s">
        <v>21</v>
      </c>
      <c r="D159" s="19" t="s">
        <v>14</v>
      </c>
      <c r="E159" s="19" t="s">
        <v>201</v>
      </c>
      <c r="F159" s="19"/>
      <c r="G159" s="20">
        <f t="shared" si="26"/>
        <v>281.89999999999998</v>
      </c>
      <c r="H159" s="20">
        <f t="shared" si="26"/>
        <v>281.89999999999998</v>
      </c>
      <c r="I159" s="20">
        <f t="shared" si="26"/>
        <v>281.89999999999998</v>
      </c>
      <c r="K159" s="114"/>
    </row>
    <row r="160" spans="1:11" s="29" customFormat="1" ht="25.5" x14ac:dyDescent="0.2">
      <c r="A160" s="31" t="s">
        <v>76</v>
      </c>
      <c r="B160" s="36">
        <v>904</v>
      </c>
      <c r="C160" s="27" t="s">
        <v>21</v>
      </c>
      <c r="D160" s="27" t="s">
        <v>14</v>
      </c>
      <c r="E160" s="27" t="s">
        <v>201</v>
      </c>
      <c r="F160" s="30" t="s">
        <v>68</v>
      </c>
      <c r="G160" s="28">
        <v>281.89999999999998</v>
      </c>
      <c r="H160" s="28">
        <v>281.89999999999998</v>
      </c>
      <c r="I160" s="28">
        <v>281.89999999999998</v>
      </c>
      <c r="K160" s="114"/>
    </row>
    <row r="161" spans="1:13" s="9" customFormat="1" ht="25.5" x14ac:dyDescent="0.2">
      <c r="A161" s="11" t="s">
        <v>4</v>
      </c>
      <c r="B161" s="14">
        <v>904</v>
      </c>
      <c r="C161" s="8" t="s">
        <v>21</v>
      </c>
      <c r="D161" s="8" t="s">
        <v>31</v>
      </c>
      <c r="E161" s="8"/>
      <c r="F161" s="8"/>
      <c r="G161" s="4">
        <f>G162</f>
        <v>1103.3</v>
      </c>
      <c r="H161" s="4">
        <f>H162</f>
        <v>983.9</v>
      </c>
      <c r="I161" s="4">
        <f>I162</f>
        <v>983.9</v>
      </c>
      <c r="K161" s="116"/>
    </row>
    <row r="162" spans="1:13" ht="25.5" x14ac:dyDescent="0.2">
      <c r="A162" s="18" t="s">
        <v>198</v>
      </c>
      <c r="B162" s="22">
        <v>904</v>
      </c>
      <c r="C162" s="19" t="s">
        <v>21</v>
      </c>
      <c r="D162" s="19" t="s">
        <v>31</v>
      </c>
      <c r="E162" s="19" t="s">
        <v>203</v>
      </c>
      <c r="F162" s="19"/>
      <c r="G162" s="20">
        <f>G163+G164</f>
        <v>1103.3</v>
      </c>
      <c r="H162" s="20">
        <f>H163+H164</f>
        <v>983.9</v>
      </c>
      <c r="I162" s="20">
        <f>I163+I164</f>
        <v>983.9</v>
      </c>
      <c r="K162" s="116"/>
    </row>
    <row r="163" spans="1:13" s="29" customFormat="1" ht="50.25" customHeight="1" x14ac:dyDescent="0.2">
      <c r="A163" s="34" t="s">
        <v>66</v>
      </c>
      <c r="B163" s="36">
        <v>904</v>
      </c>
      <c r="C163" s="27" t="s">
        <v>21</v>
      </c>
      <c r="D163" s="27" t="s">
        <v>31</v>
      </c>
      <c r="E163" s="27" t="s">
        <v>203</v>
      </c>
      <c r="F163" s="30" t="s">
        <v>67</v>
      </c>
      <c r="G163" s="28">
        <f>717.6+216.7+9+117.9</f>
        <v>1061.2</v>
      </c>
      <c r="H163" s="28">
        <f>717.6+216.7+9</f>
        <v>943.3</v>
      </c>
      <c r="I163" s="28">
        <f>717.6+216.7+9</f>
        <v>943.3</v>
      </c>
      <c r="K163" s="116"/>
    </row>
    <row r="164" spans="1:13" s="29" customFormat="1" ht="25.5" x14ac:dyDescent="0.2">
      <c r="A164" s="31" t="s">
        <v>76</v>
      </c>
      <c r="B164" s="36">
        <v>904</v>
      </c>
      <c r="C164" s="27" t="s">
        <v>21</v>
      </c>
      <c r="D164" s="27" t="s">
        <v>31</v>
      </c>
      <c r="E164" s="27" t="s">
        <v>203</v>
      </c>
      <c r="F164" s="30" t="s">
        <v>68</v>
      </c>
      <c r="G164" s="28">
        <f>40.6+1.5</f>
        <v>42.1</v>
      </c>
      <c r="H164" s="28">
        <v>40.6</v>
      </c>
      <c r="I164" s="28">
        <v>40.6</v>
      </c>
      <c r="K164" s="116"/>
    </row>
    <row r="165" spans="1:13" s="9" customFormat="1" ht="38.25" x14ac:dyDescent="0.2">
      <c r="A165" s="47" t="s">
        <v>47</v>
      </c>
      <c r="B165" s="44">
        <v>905</v>
      </c>
      <c r="C165" s="48"/>
      <c r="D165" s="48"/>
      <c r="E165" s="48"/>
      <c r="F165" s="48"/>
      <c r="G165" s="46">
        <f>G166+G185+G195+G191</f>
        <v>62320.2</v>
      </c>
      <c r="H165" s="46">
        <f>H166+H185+H195+H191</f>
        <v>53040.7</v>
      </c>
      <c r="I165" s="46">
        <f>I166+I185+I195+I191</f>
        <v>53950.399999999994</v>
      </c>
      <c r="J165" s="72"/>
      <c r="K165" s="114"/>
    </row>
    <row r="166" spans="1:13" s="3" customFormat="1" x14ac:dyDescent="0.2">
      <c r="A166" s="13" t="s">
        <v>60</v>
      </c>
      <c r="B166" s="49">
        <v>905</v>
      </c>
      <c r="C166" s="1" t="s">
        <v>12</v>
      </c>
      <c r="D166" s="1"/>
      <c r="E166" s="1"/>
      <c r="F166" s="1"/>
      <c r="G166" s="2">
        <f>G167</f>
        <v>13158</v>
      </c>
      <c r="H166" s="2">
        <f>H167</f>
        <v>12218.5</v>
      </c>
      <c r="I166" s="2">
        <f>I167</f>
        <v>12218.5</v>
      </c>
      <c r="J166" s="74"/>
      <c r="K166" s="116"/>
    </row>
    <row r="167" spans="1:13" s="9" customFormat="1" x14ac:dyDescent="0.2">
      <c r="A167" s="11" t="s">
        <v>24</v>
      </c>
      <c r="B167" s="14">
        <v>905</v>
      </c>
      <c r="C167" s="8" t="s">
        <v>12</v>
      </c>
      <c r="D167" s="8" t="s">
        <v>61</v>
      </c>
      <c r="E167" s="8"/>
      <c r="F167" s="8"/>
      <c r="G167" s="4">
        <f>G168+G170+G174+G177+G179+G182+G172</f>
        <v>13158</v>
      </c>
      <c r="H167" s="4">
        <f t="shared" ref="H167:I167" si="27">H168+H170+H174+H177+H179+H182+H172</f>
        <v>12218.5</v>
      </c>
      <c r="I167" s="4">
        <f t="shared" si="27"/>
        <v>12218.5</v>
      </c>
      <c r="K167" s="116"/>
    </row>
    <row r="168" spans="1:13" ht="25.5" x14ac:dyDescent="0.2">
      <c r="A168" s="18" t="s">
        <v>205</v>
      </c>
      <c r="B168" s="22">
        <v>905</v>
      </c>
      <c r="C168" s="19" t="s">
        <v>12</v>
      </c>
      <c r="D168" s="19" t="s">
        <v>61</v>
      </c>
      <c r="E168" s="5" t="s">
        <v>204</v>
      </c>
      <c r="F168" s="5"/>
      <c r="G168" s="6">
        <f>G169</f>
        <v>200</v>
      </c>
      <c r="H168" s="6">
        <f>H169</f>
        <v>200</v>
      </c>
      <c r="I168" s="6">
        <f>I169</f>
        <v>200</v>
      </c>
      <c r="K168" s="114"/>
    </row>
    <row r="169" spans="1:13" s="29" customFormat="1" ht="25.5" x14ac:dyDescent="0.2">
      <c r="A169" s="31" t="s">
        <v>76</v>
      </c>
      <c r="B169" s="36">
        <v>905</v>
      </c>
      <c r="C169" s="27" t="s">
        <v>12</v>
      </c>
      <c r="D169" s="27" t="s">
        <v>61</v>
      </c>
      <c r="E169" s="27" t="s">
        <v>204</v>
      </c>
      <c r="F169" s="30" t="s">
        <v>68</v>
      </c>
      <c r="G169" s="28">
        <v>200</v>
      </c>
      <c r="H169" s="28">
        <v>200</v>
      </c>
      <c r="I169" s="28">
        <v>200</v>
      </c>
      <c r="K169" s="114"/>
    </row>
    <row r="170" spans="1:13" ht="25.5" x14ac:dyDescent="0.2">
      <c r="A170" s="18" t="s">
        <v>206</v>
      </c>
      <c r="B170" s="22">
        <v>905</v>
      </c>
      <c r="C170" s="19" t="s">
        <v>12</v>
      </c>
      <c r="D170" s="19" t="s">
        <v>61</v>
      </c>
      <c r="E170" s="5" t="s">
        <v>207</v>
      </c>
      <c r="F170" s="5"/>
      <c r="G170" s="6">
        <f>G171</f>
        <v>1000</v>
      </c>
      <c r="H170" s="6">
        <f>H171</f>
        <v>1000</v>
      </c>
      <c r="I170" s="6">
        <f>I171</f>
        <v>1000</v>
      </c>
      <c r="K170" s="114"/>
    </row>
    <row r="171" spans="1:13" s="29" customFormat="1" ht="25.5" x14ac:dyDescent="0.2">
      <c r="A171" s="31" t="s">
        <v>76</v>
      </c>
      <c r="B171" s="36">
        <v>905</v>
      </c>
      <c r="C171" s="27" t="s">
        <v>12</v>
      </c>
      <c r="D171" s="27" t="s">
        <v>61</v>
      </c>
      <c r="E171" s="27" t="s">
        <v>207</v>
      </c>
      <c r="F171" s="30" t="s">
        <v>68</v>
      </c>
      <c r="G171" s="28">
        <v>1000</v>
      </c>
      <c r="H171" s="28">
        <v>1000</v>
      </c>
      <c r="I171" s="28">
        <v>1000</v>
      </c>
      <c r="K171" s="114"/>
    </row>
    <row r="172" spans="1:13" ht="38.25" x14ac:dyDescent="0.2">
      <c r="A172" s="18" t="s">
        <v>208</v>
      </c>
      <c r="B172" s="22">
        <v>905</v>
      </c>
      <c r="C172" s="19" t="s">
        <v>12</v>
      </c>
      <c r="D172" s="19" t="s">
        <v>61</v>
      </c>
      <c r="E172" s="19" t="s">
        <v>209</v>
      </c>
      <c r="F172" s="19"/>
      <c r="G172" s="20">
        <f>G173</f>
        <v>200</v>
      </c>
      <c r="H172" s="20">
        <f>H173</f>
        <v>200</v>
      </c>
      <c r="I172" s="20">
        <f>I173</f>
        <v>200</v>
      </c>
      <c r="K172" s="114"/>
    </row>
    <row r="173" spans="1:13" s="29" customFormat="1" ht="25.5" x14ac:dyDescent="0.2">
      <c r="A173" s="31" t="s">
        <v>76</v>
      </c>
      <c r="B173" s="35">
        <v>905</v>
      </c>
      <c r="C173" s="27" t="s">
        <v>12</v>
      </c>
      <c r="D173" s="27" t="s">
        <v>61</v>
      </c>
      <c r="E173" s="27" t="s">
        <v>209</v>
      </c>
      <c r="F173" s="30" t="s">
        <v>68</v>
      </c>
      <c r="G173" s="28">
        <v>200</v>
      </c>
      <c r="H173" s="28">
        <v>200</v>
      </c>
      <c r="I173" s="28">
        <v>200</v>
      </c>
      <c r="J173" s="21"/>
      <c r="K173" s="114"/>
      <c r="L173" s="21"/>
      <c r="M173" s="21"/>
    </row>
    <row r="174" spans="1:13" x14ac:dyDescent="0.2">
      <c r="A174" s="18" t="s">
        <v>210</v>
      </c>
      <c r="B174" s="22">
        <v>905</v>
      </c>
      <c r="C174" s="19" t="s">
        <v>12</v>
      </c>
      <c r="D174" s="19" t="s">
        <v>61</v>
      </c>
      <c r="E174" s="5" t="s">
        <v>211</v>
      </c>
      <c r="F174" s="5"/>
      <c r="G174" s="6">
        <f>G176+G175</f>
        <v>1400</v>
      </c>
      <c r="H174" s="6">
        <f>H176+H175</f>
        <v>1400</v>
      </c>
      <c r="I174" s="6">
        <f>I176+I175</f>
        <v>1400</v>
      </c>
      <c r="K174" s="114"/>
    </row>
    <row r="175" spans="1:13" s="29" customFormat="1" ht="25.5" x14ac:dyDescent="0.2">
      <c r="A175" s="31" t="s">
        <v>76</v>
      </c>
      <c r="B175" s="36">
        <v>905</v>
      </c>
      <c r="C175" s="27" t="s">
        <v>12</v>
      </c>
      <c r="D175" s="27" t="s">
        <v>61</v>
      </c>
      <c r="E175" s="27" t="s">
        <v>211</v>
      </c>
      <c r="F175" s="30" t="s">
        <v>68</v>
      </c>
      <c r="G175" s="28">
        <v>800</v>
      </c>
      <c r="H175" s="28">
        <v>800</v>
      </c>
      <c r="I175" s="28">
        <v>800</v>
      </c>
      <c r="K175" s="114"/>
    </row>
    <row r="176" spans="1:13" s="29" customFormat="1" x14ac:dyDescent="0.2">
      <c r="A176" s="31" t="s">
        <v>72</v>
      </c>
      <c r="B176" s="36">
        <v>905</v>
      </c>
      <c r="C176" s="27" t="s">
        <v>12</v>
      </c>
      <c r="D176" s="27" t="s">
        <v>61</v>
      </c>
      <c r="E176" s="27" t="s">
        <v>211</v>
      </c>
      <c r="F176" s="30" t="s">
        <v>73</v>
      </c>
      <c r="G176" s="28">
        <v>600</v>
      </c>
      <c r="H176" s="28">
        <v>600</v>
      </c>
      <c r="I176" s="28">
        <v>600</v>
      </c>
      <c r="K176" s="114"/>
    </row>
    <row r="177" spans="1:13" x14ac:dyDescent="0.2">
      <c r="A177" s="18" t="s">
        <v>213</v>
      </c>
      <c r="B177" s="22">
        <v>905</v>
      </c>
      <c r="C177" s="19" t="s">
        <v>12</v>
      </c>
      <c r="D177" s="19" t="s">
        <v>61</v>
      </c>
      <c r="E177" s="5" t="s">
        <v>212</v>
      </c>
      <c r="F177" s="5"/>
      <c r="G177" s="6">
        <f>G178</f>
        <v>600</v>
      </c>
      <c r="H177" s="6">
        <f>H178</f>
        <v>600</v>
      </c>
      <c r="I177" s="6">
        <f>I178</f>
        <v>600</v>
      </c>
      <c r="K177" s="114"/>
    </row>
    <row r="178" spans="1:13" s="29" customFormat="1" ht="25.5" x14ac:dyDescent="0.2">
      <c r="A178" s="31" t="s">
        <v>76</v>
      </c>
      <c r="B178" s="36">
        <v>905</v>
      </c>
      <c r="C178" s="27" t="s">
        <v>12</v>
      </c>
      <c r="D178" s="27" t="s">
        <v>61</v>
      </c>
      <c r="E178" s="27" t="s">
        <v>212</v>
      </c>
      <c r="F178" s="30" t="s">
        <v>68</v>
      </c>
      <c r="G178" s="28">
        <v>600</v>
      </c>
      <c r="H178" s="28">
        <v>600</v>
      </c>
      <c r="I178" s="28">
        <v>600</v>
      </c>
      <c r="K178" s="114"/>
    </row>
    <row r="179" spans="1:13" x14ac:dyDescent="0.2">
      <c r="A179" s="18" t="s">
        <v>214</v>
      </c>
      <c r="B179" s="22">
        <v>905</v>
      </c>
      <c r="C179" s="19" t="s">
        <v>12</v>
      </c>
      <c r="D179" s="19" t="s">
        <v>61</v>
      </c>
      <c r="E179" s="5" t="s">
        <v>215</v>
      </c>
      <c r="F179" s="5"/>
      <c r="G179" s="6">
        <f>G180+G181</f>
        <v>1039.7</v>
      </c>
      <c r="H179" s="6">
        <f>H180+H181</f>
        <v>1039.7</v>
      </c>
      <c r="I179" s="6">
        <f>I180+I181</f>
        <v>1039.7</v>
      </c>
      <c r="K179" s="114"/>
    </row>
    <row r="180" spans="1:13" s="29" customFormat="1" ht="25.5" x14ac:dyDescent="0.2">
      <c r="A180" s="31" t="s">
        <v>76</v>
      </c>
      <c r="B180" s="26">
        <v>905</v>
      </c>
      <c r="C180" s="27" t="s">
        <v>12</v>
      </c>
      <c r="D180" s="27" t="s">
        <v>61</v>
      </c>
      <c r="E180" s="27" t="s">
        <v>215</v>
      </c>
      <c r="F180" s="30" t="s">
        <v>68</v>
      </c>
      <c r="G180" s="28">
        <v>100</v>
      </c>
      <c r="H180" s="28">
        <v>100</v>
      </c>
      <c r="I180" s="28">
        <v>100</v>
      </c>
      <c r="K180" s="114"/>
    </row>
    <row r="181" spans="1:13" s="29" customFormat="1" x14ac:dyDescent="0.2">
      <c r="A181" s="31" t="s">
        <v>72</v>
      </c>
      <c r="B181" s="35">
        <v>905</v>
      </c>
      <c r="C181" s="19" t="s">
        <v>12</v>
      </c>
      <c r="D181" s="19" t="s">
        <v>61</v>
      </c>
      <c r="E181" s="27" t="s">
        <v>215</v>
      </c>
      <c r="F181" s="27" t="s">
        <v>73</v>
      </c>
      <c r="G181" s="28">
        <v>939.7</v>
      </c>
      <c r="H181" s="28">
        <v>939.7</v>
      </c>
      <c r="I181" s="28">
        <v>939.7</v>
      </c>
      <c r="K181" s="114"/>
    </row>
    <row r="182" spans="1:13" ht="25.5" x14ac:dyDescent="0.2">
      <c r="A182" s="18" t="s">
        <v>216</v>
      </c>
      <c r="B182" s="22">
        <v>905</v>
      </c>
      <c r="C182" s="19" t="s">
        <v>12</v>
      </c>
      <c r="D182" s="19" t="s">
        <v>61</v>
      </c>
      <c r="E182" s="5" t="s">
        <v>217</v>
      </c>
      <c r="F182" s="19"/>
      <c r="G182" s="20">
        <f>G183+G184</f>
        <v>8718.3000000000011</v>
      </c>
      <c r="H182" s="20">
        <f t="shared" ref="H182:I182" si="28">H183+H184</f>
        <v>7778.8000000000011</v>
      </c>
      <c r="I182" s="20">
        <f t="shared" si="28"/>
        <v>7778.8000000000011</v>
      </c>
      <c r="K182" s="116"/>
    </row>
    <row r="183" spans="1:13" s="29" customFormat="1" ht="51" customHeight="1" x14ac:dyDescent="0.2">
      <c r="A183" s="34" t="s">
        <v>66</v>
      </c>
      <c r="B183" s="36">
        <v>905</v>
      </c>
      <c r="C183" s="27" t="s">
        <v>12</v>
      </c>
      <c r="D183" s="27" t="s">
        <v>61</v>
      </c>
      <c r="E183" s="27" t="s">
        <v>217</v>
      </c>
      <c r="F183" s="30" t="s">
        <v>67</v>
      </c>
      <c r="G183" s="28">
        <f>5397.6+1630.1+67.6+886.9</f>
        <v>7982.2000000000007</v>
      </c>
      <c r="H183" s="28">
        <f>5397.6+1630.1+67.6</f>
        <v>7095.3000000000011</v>
      </c>
      <c r="I183" s="28">
        <f>5397.6+1630.1+67.6</f>
        <v>7095.3000000000011</v>
      </c>
      <c r="K183" s="116"/>
    </row>
    <row r="184" spans="1:13" s="29" customFormat="1" ht="25.5" x14ac:dyDescent="0.2">
      <c r="A184" s="31" t="s">
        <v>76</v>
      </c>
      <c r="B184" s="36">
        <v>905</v>
      </c>
      <c r="C184" s="27" t="s">
        <v>12</v>
      </c>
      <c r="D184" s="27" t="s">
        <v>61</v>
      </c>
      <c r="E184" s="27" t="s">
        <v>217</v>
      </c>
      <c r="F184" s="30" t="s">
        <v>68</v>
      </c>
      <c r="G184" s="28">
        <f>683.5+52.6</f>
        <v>736.1</v>
      </c>
      <c r="H184" s="28">
        <v>683.5</v>
      </c>
      <c r="I184" s="28">
        <v>683.5</v>
      </c>
      <c r="K184" s="116"/>
    </row>
    <row r="185" spans="1:13" s="3" customFormat="1" x14ac:dyDescent="0.2">
      <c r="A185" s="13" t="s">
        <v>27</v>
      </c>
      <c r="B185" s="49">
        <v>905</v>
      </c>
      <c r="C185" s="1" t="s">
        <v>18</v>
      </c>
      <c r="D185" s="1"/>
      <c r="E185" s="1"/>
      <c r="F185" s="1"/>
      <c r="G185" s="2">
        <f>G186</f>
        <v>1700</v>
      </c>
      <c r="H185" s="2">
        <f>H186</f>
        <v>1700</v>
      </c>
      <c r="I185" s="2">
        <f>I186</f>
        <v>1700</v>
      </c>
      <c r="K185" s="114"/>
    </row>
    <row r="186" spans="1:13" s="9" customFormat="1" x14ac:dyDescent="0.2">
      <c r="A186" s="11" t="s">
        <v>29</v>
      </c>
      <c r="B186" s="14">
        <v>905</v>
      </c>
      <c r="C186" s="8" t="s">
        <v>18</v>
      </c>
      <c r="D186" s="8" t="s">
        <v>23</v>
      </c>
      <c r="E186" s="8"/>
      <c r="F186" s="8"/>
      <c r="G186" s="4">
        <f>G187+G189</f>
        <v>1700</v>
      </c>
      <c r="H186" s="4">
        <f>H187+H189</f>
        <v>1700</v>
      </c>
      <c r="I186" s="4">
        <f>I187+I189</f>
        <v>1700</v>
      </c>
      <c r="K186" s="114"/>
    </row>
    <row r="187" spans="1:13" x14ac:dyDescent="0.2">
      <c r="A187" s="18" t="s">
        <v>219</v>
      </c>
      <c r="B187" s="22">
        <v>905</v>
      </c>
      <c r="C187" s="19" t="s">
        <v>18</v>
      </c>
      <c r="D187" s="19" t="s">
        <v>23</v>
      </c>
      <c r="E187" s="19" t="s">
        <v>218</v>
      </c>
      <c r="F187" s="19"/>
      <c r="G187" s="20">
        <f>G188</f>
        <v>1000</v>
      </c>
      <c r="H187" s="20">
        <f>H188</f>
        <v>1000</v>
      </c>
      <c r="I187" s="20">
        <f>I188</f>
        <v>1000</v>
      </c>
      <c r="K187" s="114"/>
    </row>
    <row r="188" spans="1:13" s="29" customFormat="1" ht="25.5" x14ac:dyDescent="0.2">
      <c r="A188" s="31" t="s">
        <v>76</v>
      </c>
      <c r="B188" s="35">
        <v>905</v>
      </c>
      <c r="C188" s="27" t="s">
        <v>18</v>
      </c>
      <c r="D188" s="27" t="s">
        <v>23</v>
      </c>
      <c r="E188" s="27" t="s">
        <v>218</v>
      </c>
      <c r="F188" s="30" t="s">
        <v>68</v>
      </c>
      <c r="G188" s="28">
        <v>1000</v>
      </c>
      <c r="H188" s="28">
        <v>1000</v>
      </c>
      <c r="I188" s="28">
        <v>1000</v>
      </c>
      <c r="J188" s="21"/>
      <c r="K188" s="114"/>
      <c r="L188" s="21"/>
      <c r="M188" s="21"/>
    </row>
    <row r="189" spans="1:13" ht="38.25" x14ac:dyDescent="0.2">
      <c r="A189" s="18" t="s">
        <v>220</v>
      </c>
      <c r="B189" s="22">
        <v>905</v>
      </c>
      <c r="C189" s="19" t="s">
        <v>18</v>
      </c>
      <c r="D189" s="19" t="s">
        <v>23</v>
      </c>
      <c r="E189" s="19" t="s">
        <v>221</v>
      </c>
      <c r="F189" s="19"/>
      <c r="G189" s="20">
        <f>G190</f>
        <v>700</v>
      </c>
      <c r="H189" s="20">
        <f>H190</f>
        <v>700</v>
      </c>
      <c r="I189" s="20">
        <f>I190</f>
        <v>700</v>
      </c>
      <c r="K189" s="114"/>
    </row>
    <row r="190" spans="1:13" s="29" customFormat="1" ht="25.5" x14ac:dyDescent="0.2">
      <c r="A190" s="31" t="s">
        <v>76</v>
      </c>
      <c r="B190" s="36">
        <v>905</v>
      </c>
      <c r="C190" s="27" t="s">
        <v>18</v>
      </c>
      <c r="D190" s="27" t="s">
        <v>23</v>
      </c>
      <c r="E190" s="27" t="s">
        <v>221</v>
      </c>
      <c r="F190" s="30" t="s">
        <v>68</v>
      </c>
      <c r="G190" s="28">
        <v>700</v>
      </c>
      <c r="H190" s="28">
        <v>700</v>
      </c>
      <c r="I190" s="28">
        <v>700</v>
      </c>
      <c r="K190" s="114"/>
    </row>
    <row r="191" spans="1:13" s="3" customFormat="1" x14ac:dyDescent="0.2">
      <c r="A191" s="13" t="s">
        <v>30</v>
      </c>
      <c r="B191" s="49">
        <v>905</v>
      </c>
      <c r="C191" s="1" t="s">
        <v>31</v>
      </c>
      <c r="D191" s="1"/>
      <c r="E191" s="1"/>
      <c r="F191" s="1"/>
      <c r="G191" s="2">
        <f>G192</f>
        <v>6538.3</v>
      </c>
      <c r="H191" s="2">
        <f t="shared" ref="H191:I191" si="29">H192</f>
        <v>0</v>
      </c>
      <c r="I191" s="2">
        <f t="shared" si="29"/>
        <v>0</v>
      </c>
      <c r="K191" s="114"/>
    </row>
    <row r="192" spans="1:13" s="9" customFormat="1" x14ac:dyDescent="0.2">
      <c r="A192" s="11" t="s">
        <v>32</v>
      </c>
      <c r="B192" s="14">
        <v>905</v>
      </c>
      <c r="C192" s="8" t="s">
        <v>31</v>
      </c>
      <c r="D192" s="8" t="s">
        <v>12</v>
      </c>
      <c r="E192" s="8"/>
      <c r="F192" s="8"/>
      <c r="G192" s="4">
        <f t="shared" ref="G192:I193" si="30">G193</f>
        <v>6538.3</v>
      </c>
      <c r="H192" s="4">
        <f t="shared" si="30"/>
        <v>0</v>
      </c>
      <c r="I192" s="4">
        <f t="shared" si="30"/>
        <v>0</v>
      </c>
      <c r="K192" s="114"/>
    </row>
    <row r="193" spans="1:13" ht="25.5" x14ac:dyDescent="0.2">
      <c r="A193" s="18" t="s">
        <v>222</v>
      </c>
      <c r="B193" s="22">
        <v>905</v>
      </c>
      <c r="C193" s="19" t="s">
        <v>31</v>
      </c>
      <c r="D193" s="19" t="s">
        <v>12</v>
      </c>
      <c r="E193" s="19" t="s">
        <v>223</v>
      </c>
      <c r="F193" s="19"/>
      <c r="G193" s="20">
        <f t="shared" si="30"/>
        <v>6538.3</v>
      </c>
      <c r="H193" s="20">
        <f t="shared" si="30"/>
        <v>0</v>
      </c>
      <c r="I193" s="20">
        <f t="shared" si="30"/>
        <v>0</v>
      </c>
      <c r="K193" s="114"/>
    </row>
    <row r="194" spans="1:13" s="29" customFormat="1" ht="25.5" x14ac:dyDescent="0.2">
      <c r="A194" s="31" t="s">
        <v>76</v>
      </c>
      <c r="B194" s="35">
        <v>905</v>
      </c>
      <c r="C194" s="27" t="s">
        <v>31</v>
      </c>
      <c r="D194" s="27" t="s">
        <v>12</v>
      </c>
      <c r="E194" s="27" t="s">
        <v>223</v>
      </c>
      <c r="F194" s="27" t="s">
        <v>68</v>
      </c>
      <c r="G194" s="28">
        <v>6538.3</v>
      </c>
      <c r="H194" s="28"/>
      <c r="I194" s="28"/>
      <c r="J194" s="21"/>
      <c r="K194" s="114"/>
      <c r="L194" s="21"/>
      <c r="M194" s="21"/>
    </row>
    <row r="195" spans="1:13" s="9" customFormat="1" x14ac:dyDescent="0.2">
      <c r="A195" s="11" t="s">
        <v>52</v>
      </c>
      <c r="B195" s="14">
        <v>905</v>
      </c>
      <c r="C195" s="8" t="s">
        <v>51</v>
      </c>
      <c r="D195" s="8"/>
      <c r="E195" s="8"/>
      <c r="F195" s="8"/>
      <c r="G195" s="4">
        <f>G196+G201</f>
        <v>40923.899999999994</v>
      </c>
      <c r="H195" s="4">
        <f>H196+H201</f>
        <v>39122.199999999997</v>
      </c>
      <c r="I195" s="4">
        <f>I196+I201</f>
        <v>40031.899999999994</v>
      </c>
      <c r="K195" s="114"/>
    </row>
    <row r="196" spans="1:13" s="9" customFormat="1" x14ac:dyDescent="0.2">
      <c r="A196" s="11" t="s">
        <v>56</v>
      </c>
      <c r="B196" s="14">
        <v>905</v>
      </c>
      <c r="C196" s="8" t="s">
        <v>51</v>
      </c>
      <c r="D196" s="8" t="s">
        <v>18</v>
      </c>
      <c r="E196" s="8"/>
      <c r="F196" s="8"/>
      <c r="G196" s="4">
        <f>G197+G199</f>
        <v>40893.199999999997</v>
      </c>
      <c r="H196" s="4">
        <f t="shared" ref="H196:I196" si="31">H197+H199</f>
        <v>39091.5</v>
      </c>
      <c r="I196" s="4">
        <f t="shared" si="31"/>
        <v>40001.199999999997</v>
      </c>
      <c r="K196" s="114"/>
    </row>
    <row r="197" spans="1:13" ht="39" customHeight="1" x14ac:dyDescent="0.2">
      <c r="A197" s="18" t="s">
        <v>224</v>
      </c>
      <c r="B197" s="22">
        <v>905</v>
      </c>
      <c r="C197" s="19" t="s">
        <v>51</v>
      </c>
      <c r="D197" s="16" t="s">
        <v>18</v>
      </c>
      <c r="E197" s="19" t="s">
        <v>134</v>
      </c>
      <c r="F197" s="19"/>
      <c r="G197" s="20">
        <f>G198</f>
        <v>26293.5</v>
      </c>
      <c r="H197" s="20">
        <f>H198</f>
        <v>27404.7</v>
      </c>
      <c r="I197" s="20">
        <f>I198</f>
        <v>28500.799999999999</v>
      </c>
      <c r="K197" s="114"/>
    </row>
    <row r="198" spans="1:13" s="29" customFormat="1" ht="25.5" x14ac:dyDescent="0.2">
      <c r="A198" s="31" t="s">
        <v>83</v>
      </c>
      <c r="B198" s="35">
        <v>905</v>
      </c>
      <c r="C198" s="27" t="s">
        <v>51</v>
      </c>
      <c r="D198" s="27" t="s">
        <v>18</v>
      </c>
      <c r="E198" s="19" t="s">
        <v>134</v>
      </c>
      <c r="F198" s="27" t="s">
        <v>71</v>
      </c>
      <c r="G198" s="28">
        <f>26434-140.5</f>
        <v>26293.5</v>
      </c>
      <c r="H198" s="28">
        <f>27564-159.3</f>
        <v>27404.7</v>
      </c>
      <c r="I198" s="28">
        <f>28666.6-165.8</f>
        <v>28500.799999999999</v>
      </c>
      <c r="J198" s="21"/>
      <c r="K198" s="114"/>
      <c r="L198" s="21"/>
      <c r="M198" s="21"/>
    </row>
    <row r="199" spans="1:13" ht="41.25" customHeight="1" x14ac:dyDescent="0.2">
      <c r="A199" s="18" t="s">
        <v>224</v>
      </c>
      <c r="B199" s="18">
        <v>905</v>
      </c>
      <c r="C199" s="19" t="s">
        <v>51</v>
      </c>
      <c r="D199" s="16" t="s">
        <v>18</v>
      </c>
      <c r="E199" s="19" t="s">
        <v>366</v>
      </c>
      <c r="F199" s="19"/>
      <c r="G199" s="20">
        <f>G200</f>
        <v>14599.699999999999</v>
      </c>
      <c r="H199" s="20">
        <f>H200</f>
        <v>11686.800000000001</v>
      </c>
      <c r="I199" s="20">
        <f>I200</f>
        <v>11500.4</v>
      </c>
      <c r="K199" s="116"/>
    </row>
    <row r="200" spans="1:13" ht="25.5" x14ac:dyDescent="0.2">
      <c r="A200" s="31" t="s">
        <v>83</v>
      </c>
      <c r="B200" s="31">
        <v>905</v>
      </c>
      <c r="C200" s="27" t="s">
        <v>51</v>
      </c>
      <c r="D200" s="27" t="s">
        <v>18</v>
      </c>
      <c r="E200" s="19" t="s">
        <v>366</v>
      </c>
      <c r="F200" s="27" t="s">
        <v>71</v>
      </c>
      <c r="G200" s="28">
        <f>11851.8+23.9+2724</f>
        <v>14599.699999999999</v>
      </c>
      <c r="H200" s="28">
        <f>11659.7+27.1</f>
        <v>11686.800000000001</v>
      </c>
      <c r="I200" s="28">
        <f>11472.3+28.1</f>
        <v>11500.4</v>
      </c>
      <c r="K200" s="116"/>
    </row>
    <row r="201" spans="1:13" s="9" customFormat="1" x14ac:dyDescent="0.2">
      <c r="A201" s="11" t="s">
        <v>57</v>
      </c>
      <c r="B201" s="14">
        <v>905</v>
      </c>
      <c r="C201" s="8" t="s">
        <v>51</v>
      </c>
      <c r="D201" s="8" t="s">
        <v>50</v>
      </c>
      <c r="E201" s="8"/>
      <c r="F201" s="8"/>
      <c r="G201" s="4">
        <f t="shared" ref="G201:I202" si="32">G202</f>
        <v>30.7</v>
      </c>
      <c r="H201" s="4">
        <f t="shared" si="32"/>
        <v>30.7</v>
      </c>
      <c r="I201" s="4">
        <f t="shared" si="32"/>
        <v>30.7</v>
      </c>
      <c r="K201" s="114"/>
    </row>
    <row r="202" spans="1:13" x14ac:dyDescent="0.2">
      <c r="A202" s="18" t="s">
        <v>289</v>
      </c>
      <c r="B202" s="22">
        <v>905</v>
      </c>
      <c r="C202" s="19" t="s">
        <v>51</v>
      </c>
      <c r="D202" s="16" t="s">
        <v>50</v>
      </c>
      <c r="E202" s="19" t="s">
        <v>290</v>
      </c>
      <c r="F202" s="19"/>
      <c r="G202" s="20">
        <f t="shared" si="32"/>
        <v>30.7</v>
      </c>
      <c r="H202" s="20">
        <f t="shared" si="32"/>
        <v>30.7</v>
      </c>
      <c r="I202" s="20">
        <f t="shared" si="32"/>
        <v>30.7</v>
      </c>
      <c r="K202" s="114"/>
    </row>
    <row r="203" spans="1:13" s="29" customFormat="1" x14ac:dyDescent="0.2">
      <c r="A203" s="31" t="s">
        <v>72</v>
      </c>
      <c r="B203" s="35">
        <v>905</v>
      </c>
      <c r="C203" s="27" t="s">
        <v>51</v>
      </c>
      <c r="D203" s="27" t="s">
        <v>50</v>
      </c>
      <c r="E203" s="27" t="s">
        <v>290</v>
      </c>
      <c r="F203" s="27" t="s">
        <v>73</v>
      </c>
      <c r="G203" s="28">
        <v>30.7</v>
      </c>
      <c r="H203" s="28">
        <v>30.7</v>
      </c>
      <c r="I203" s="28">
        <v>30.7</v>
      </c>
      <c r="J203" s="21"/>
      <c r="K203" s="114"/>
      <c r="L203" s="21"/>
      <c r="M203" s="21"/>
    </row>
    <row r="204" spans="1:13" s="9" customFormat="1" ht="25.5" x14ac:dyDescent="0.2">
      <c r="A204" s="47" t="s">
        <v>63</v>
      </c>
      <c r="B204" s="44">
        <v>906</v>
      </c>
      <c r="C204" s="48"/>
      <c r="D204" s="48"/>
      <c r="E204" s="48"/>
      <c r="F204" s="48"/>
      <c r="G204" s="46">
        <f t="shared" ref="G204:I205" si="33">G205</f>
        <v>2408.9</v>
      </c>
      <c r="H204" s="46">
        <f t="shared" si="33"/>
        <v>2115.3999999999996</v>
      </c>
      <c r="I204" s="46">
        <f t="shared" si="33"/>
        <v>2115.3999999999996</v>
      </c>
      <c r="J204" s="72"/>
      <c r="K204" s="114"/>
    </row>
    <row r="205" spans="1:13" s="3" customFormat="1" x14ac:dyDescent="0.2">
      <c r="A205" s="13" t="s">
        <v>60</v>
      </c>
      <c r="B205" s="49">
        <v>906</v>
      </c>
      <c r="C205" s="1" t="s">
        <v>12</v>
      </c>
      <c r="D205" s="1"/>
      <c r="E205" s="1"/>
      <c r="F205" s="1"/>
      <c r="G205" s="2">
        <f t="shared" si="33"/>
        <v>2408.9</v>
      </c>
      <c r="H205" s="2">
        <f t="shared" si="33"/>
        <v>2115.3999999999996</v>
      </c>
      <c r="I205" s="2">
        <f t="shared" si="33"/>
        <v>2115.3999999999996</v>
      </c>
      <c r="K205" s="116"/>
    </row>
    <row r="206" spans="1:13" s="9" customFormat="1" ht="38.25" x14ac:dyDescent="0.2">
      <c r="A206" s="11" t="s">
        <v>82</v>
      </c>
      <c r="B206" s="14">
        <v>906</v>
      </c>
      <c r="C206" s="8" t="s">
        <v>12</v>
      </c>
      <c r="D206" s="8" t="s">
        <v>50</v>
      </c>
      <c r="E206" s="8"/>
      <c r="F206" s="8"/>
      <c r="G206" s="4">
        <f>G207+G211</f>
        <v>2408.9</v>
      </c>
      <c r="H206" s="4">
        <f>H207+H211</f>
        <v>2115.3999999999996</v>
      </c>
      <c r="I206" s="4">
        <f>I207+I211</f>
        <v>2115.3999999999996</v>
      </c>
      <c r="K206" s="116"/>
    </row>
    <row r="207" spans="1:13" x14ac:dyDescent="0.2">
      <c r="A207" s="18" t="s">
        <v>226</v>
      </c>
      <c r="B207" s="22">
        <v>906</v>
      </c>
      <c r="C207" s="19" t="s">
        <v>12</v>
      </c>
      <c r="D207" s="19" t="s">
        <v>50</v>
      </c>
      <c r="E207" s="19" t="s">
        <v>225</v>
      </c>
      <c r="F207" s="19"/>
      <c r="G207" s="20">
        <f>+G208+G209+G210</f>
        <v>1784.2</v>
      </c>
      <c r="H207" s="20">
        <f>+H208+H209+H210</f>
        <v>1560.1</v>
      </c>
      <c r="I207" s="20">
        <f>+I208+I209+I210</f>
        <v>1560.1</v>
      </c>
      <c r="K207" s="116"/>
    </row>
    <row r="208" spans="1:13" s="29" customFormat="1" ht="53.25" customHeight="1" x14ac:dyDescent="0.2">
      <c r="A208" s="34" t="s">
        <v>66</v>
      </c>
      <c r="B208" s="36">
        <v>906</v>
      </c>
      <c r="C208" s="27" t="s">
        <v>12</v>
      </c>
      <c r="D208" s="27" t="s">
        <v>50</v>
      </c>
      <c r="E208" s="27" t="s">
        <v>225</v>
      </c>
      <c r="F208" s="30" t="s">
        <v>67</v>
      </c>
      <c r="G208" s="28">
        <f>943.4+284.9+1.1+0.7+11.7+155</f>
        <v>1396.8</v>
      </c>
      <c r="H208" s="28">
        <f>943.4+284.9+1.1+0.7+11.7</f>
        <v>1241.8</v>
      </c>
      <c r="I208" s="28">
        <f>943.4+284.9+1.1+0.7+11.7</f>
        <v>1241.8</v>
      </c>
      <c r="J208" s="21"/>
      <c r="K208" s="116"/>
      <c r="L208" s="21"/>
      <c r="M208" s="21"/>
    </row>
    <row r="209" spans="1:13" s="29" customFormat="1" ht="25.5" x14ac:dyDescent="0.2">
      <c r="A209" s="31" t="s">
        <v>76</v>
      </c>
      <c r="B209" s="35">
        <v>906</v>
      </c>
      <c r="C209" s="27" t="s">
        <v>12</v>
      </c>
      <c r="D209" s="27" t="s">
        <v>50</v>
      </c>
      <c r="E209" s="27" t="s">
        <v>225</v>
      </c>
      <c r="F209" s="30" t="s">
        <v>68</v>
      </c>
      <c r="G209" s="28">
        <f>190.5-1.1+128.5+69.1</f>
        <v>387</v>
      </c>
      <c r="H209" s="28">
        <f>190.5-1.1+128.5</f>
        <v>317.89999999999998</v>
      </c>
      <c r="I209" s="28">
        <f>190.5-1.1+128.5</f>
        <v>317.89999999999998</v>
      </c>
      <c r="J209" s="21"/>
      <c r="K209" s="116"/>
      <c r="L209" s="21"/>
      <c r="M209" s="21"/>
    </row>
    <row r="210" spans="1:13" s="29" customFormat="1" x14ac:dyDescent="0.2">
      <c r="A210" s="31" t="s">
        <v>72</v>
      </c>
      <c r="B210" s="35">
        <v>906</v>
      </c>
      <c r="C210" s="27" t="s">
        <v>12</v>
      </c>
      <c r="D210" s="27" t="s">
        <v>50</v>
      </c>
      <c r="E210" s="27" t="s">
        <v>225</v>
      </c>
      <c r="F210" s="27" t="s">
        <v>73</v>
      </c>
      <c r="G210" s="28">
        <f>0.2+0.2</f>
        <v>0.4</v>
      </c>
      <c r="H210" s="28">
        <f>0.2+0.2</f>
        <v>0.4</v>
      </c>
      <c r="I210" s="28">
        <f>0.2+0.2</f>
        <v>0.4</v>
      </c>
      <c r="J210" s="21"/>
      <c r="K210" s="114"/>
      <c r="L210" s="21"/>
      <c r="M210" s="21"/>
    </row>
    <row r="211" spans="1:13" x14ac:dyDescent="0.2">
      <c r="A211" s="18" t="s">
        <v>227</v>
      </c>
      <c r="B211" s="22">
        <v>906</v>
      </c>
      <c r="C211" s="19" t="s">
        <v>12</v>
      </c>
      <c r="D211" s="19" t="s">
        <v>50</v>
      </c>
      <c r="E211" s="19" t="s">
        <v>228</v>
      </c>
      <c r="F211" s="19"/>
      <c r="G211" s="20">
        <f>G212</f>
        <v>624.69999999999993</v>
      </c>
      <c r="H211" s="20">
        <f>H212</f>
        <v>555.29999999999995</v>
      </c>
      <c r="I211" s="20">
        <f>I212</f>
        <v>555.29999999999995</v>
      </c>
      <c r="K211" s="116"/>
    </row>
    <row r="212" spans="1:13" s="29" customFormat="1" ht="51" customHeight="1" x14ac:dyDescent="0.2">
      <c r="A212" s="34" t="s">
        <v>66</v>
      </c>
      <c r="B212" s="36">
        <v>906</v>
      </c>
      <c r="C212" s="27" t="s">
        <v>12</v>
      </c>
      <c r="D212" s="27" t="s">
        <v>50</v>
      </c>
      <c r="E212" s="27" t="s">
        <v>228</v>
      </c>
      <c r="F212" s="30" t="s">
        <v>67</v>
      </c>
      <c r="G212" s="28">
        <f>422.3+127.6+5.4+69.4</f>
        <v>624.69999999999993</v>
      </c>
      <c r="H212" s="28">
        <f>422.3+127.6+5.4</f>
        <v>555.29999999999995</v>
      </c>
      <c r="I212" s="28">
        <f>422.3+127.6+5.4</f>
        <v>555.29999999999995</v>
      </c>
      <c r="K212" s="116"/>
    </row>
    <row r="213" spans="1:13" s="9" customFormat="1" ht="25.5" x14ac:dyDescent="0.2">
      <c r="A213" s="47" t="s">
        <v>77</v>
      </c>
      <c r="B213" s="44">
        <v>907</v>
      </c>
      <c r="C213" s="48"/>
      <c r="D213" s="48"/>
      <c r="E213" s="48"/>
      <c r="F213" s="48"/>
      <c r="G213" s="46">
        <f>G214</f>
        <v>7140.3</v>
      </c>
      <c r="H213" s="46">
        <f>H214</f>
        <v>6374.2999999999993</v>
      </c>
      <c r="I213" s="46">
        <f>I214</f>
        <v>6374.2999999999993</v>
      </c>
      <c r="K213" s="114"/>
    </row>
    <row r="214" spans="1:13" s="3" customFormat="1" x14ac:dyDescent="0.2">
      <c r="A214" s="13" t="s">
        <v>60</v>
      </c>
      <c r="B214" s="49">
        <v>907</v>
      </c>
      <c r="C214" s="1" t="s">
        <v>12</v>
      </c>
      <c r="D214" s="1"/>
      <c r="E214" s="1"/>
      <c r="F214" s="1"/>
      <c r="G214" s="2">
        <f>G215+G224</f>
        <v>7140.3</v>
      </c>
      <c r="H214" s="2">
        <f>H215+H224</f>
        <v>6374.2999999999993</v>
      </c>
      <c r="I214" s="2">
        <f>I215+I224</f>
        <v>6374.2999999999993</v>
      </c>
      <c r="K214" s="116"/>
    </row>
    <row r="215" spans="1:13" s="9" customFormat="1" ht="51" x14ac:dyDescent="0.2">
      <c r="A215" s="11" t="s">
        <v>15</v>
      </c>
      <c r="B215" s="14">
        <v>907</v>
      </c>
      <c r="C215" s="8" t="s">
        <v>12</v>
      </c>
      <c r="D215" s="8" t="s">
        <v>16</v>
      </c>
      <c r="E215" s="8"/>
      <c r="F215" s="8"/>
      <c r="G215" s="4">
        <f>G216+G220+G222</f>
        <v>7056.8</v>
      </c>
      <c r="H215" s="4">
        <f>H216+H220+H222</f>
        <v>6300.7999999999993</v>
      </c>
      <c r="I215" s="4">
        <f>I216+I220+I222</f>
        <v>6300.7999999999993</v>
      </c>
      <c r="K215" s="116"/>
    </row>
    <row r="216" spans="1:13" x14ac:dyDescent="0.2">
      <c r="A216" s="18" t="s">
        <v>226</v>
      </c>
      <c r="B216" s="22">
        <v>907</v>
      </c>
      <c r="C216" s="19" t="s">
        <v>12</v>
      </c>
      <c r="D216" s="19" t="s">
        <v>16</v>
      </c>
      <c r="E216" s="19" t="s">
        <v>225</v>
      </c>
      <c r="F216" s="19"/>
      <c r="G216" s="20">
        <f>G217+G218+G219</f>
        <v>2823.7</v>
      </c>
      <c r="H216" s="20">
        <f>H217+H218+H219</f>
        <v>2463.4</v>
      </c>
      <c r="I216" s="20">
        <f>I217+I218+I219</f>
        <v>2463.4</v>
      </c>
      <c r="K216" s="116"/>
    </row>
    <row r="217" spans="1:13" s="29" customFormat="1" ht="51.75" customHeight="1" x14ac:dyDescent="0.2">
      <c r="A217" s="34" t="s">
        <v>66</v>
      </c>
      <c r="B217" s="36">
        <v>907</v>
      </c>
      <c r="C217" s="27" t="s">
        <v>12</v>
      </c>
      <c r="D217" s="27" t="s">
        <v>16</v>
      </c>
      <c r="E217" s="27" t="s">
        <v>225</v>
      </c>
      <c r="F217" s="30" t="s">
        <v>67</v>
      </c>
      <c r="G217" s="28">
        <f>1684+508.6+20+276.6</f>
        <v>2489.1999999999998</v>
      </c>
      <c r="H217" s="28">
        <f>1684+508.6+20</f>
        <v>2212.6</v>
      </c>
      <c r="I217" s="28">
        <f>1684+508.6+20</f>
        <v>2212.6</v>
      </c>
      <c r="K217" s="116"/>
    </row>
    <row r="218" spans="1:13" s="29" customFormat="1" ht="25.5" x14ac:dyDescent="0.2">
      <c r="A218" s="31" t="s">
        <v>76</v>
      </c>
      <c r="B218" s="36">
        <v>907</v>
      </c>
      <c r="C218" s="27" t="s">
        <v>12</v>
      </c>
      <c r="D218" s="27" t="s">
        <v>16</v>
      </c>
      <c r="E218" s="27" t="s">
        <v>225</v>
      </c>
      <c r="F218" s="30" t="s">
        <v>68</v>
      </c>
      <c r="G218" s="28">
        <f>65.7+1.5+16.5+7.7+10.7+10+15.1+20.1+101.5+83.7</f>
        <v>332.5</v>
      </c>
      <c r="H218" s="28">
        <f>65.7+1.5+16.5+7.7+10.7+10+15.1+20.1+101.5</f>
        <v>248.8</v>
      </c>
      <c r="I218" s="28">
        <f>65.7+1.5+16.5+7.7+10.7+10+15.1+20.1+101.5</f>
        <v>248.8</v>
      </c>
      <c r="K218" s="116"/>
    </row>
    <row r="219" spans="1:13" s="29" customFormat="1" x14ac:dyDescent="0.2">
      <c r="A219" s="31" t="s">
        <v>72</v>
      </c>
      <c r="B219" s="35">
        <v>907</v>
      </c>
      <c r="C219" s="27" t="s">
        <v>12</v>
      </c>
      <c r="D219" s="27" t="s">
        <v>16</v>
      </c>
      <c r="E219" s="27" t="s">
        <v>225</v>
      </c>
      <c r="F219" s="27" t="s">
        <v>73</v>
      </c>
      <c r="G219" s="28">
        <v>2</v>
      </c>
      <c r="H219" s="28">
        <v>2</v>
      </c>
      <c r="I219" s="28">
        <v>2</v>
      </c>
      <c r="K219" s="114"/>
    </row>
    <row r="220" spans="1:13" ht="25.5" x14ac:dyDescent="0.2">
      <c r="A220" s="18" t="s">
        <v>229</v>
      </c>
      <c r="B220" s="22">
        <v>907</v>
      </c>
      <c r="C220" s="19" t="s">
        <v>12</v>
      </c>
      <c r="D220" s="19" t="s">
        <v>16</v>
      </c>
      <c r="E220" s="19" t="s">
        <v>231</v>
      </c>
      <c r="F220" s="19"/>
      <c r="G220" s="20">
        <f>G221</f>
        <v>1480.6000000000001</v>
      </c>
      <c r="H220" s="20">
        <f>H221</f>
        <v>1316.1000000000001</v>
      </c>
      <c r="I220" s="20">
        <f>I221</f>
        <v>1316.1000000000001</v>
      </c>
      <c r="K220" s="116"/>
    </row>
    <row r="221" spans="1:13" s="29" customFormat="1" ht="51.75" customHeight="1" x14ac:dyDescent="0.2">
      <c r="A221" s="34" t="s">
        <v>66</v>
      </c>
      <c r="B221" s="36">
        <v>907</v>
      </c>
      <c r="C221" s="27" t="s">
        <v>12</v>
      </c>
      <c r="D221" s="27" t="s">
        <v>16</v>
      </c>
      <c r="E221" s="27" t="s">
        <v>231</v>
      </c>
      <c r="F221" s="30" t="s">
        <v>67</v>
      </c>
      <c r="G221" s="28">
        <f>1001.1+302.3+12.7+164.5</f>
        <v>1480.6000000000001</v>
      </c>
      <c r="H221" s="28">
        <f>1001.1+302.3+12.7</f>
        <v>1316.1000000000001</v>
      </c>
      <c r="I221" s="28">
        <f>1001.1+302.3+12.7</f>
        <v>1316.1000000000001</v>
      </c>
      <c r="K221" s="116"/>
    </row>
    <row r="222" spans="1:13" ht="25.5" x14ac:dyDescent="0.2">
      <c r="A222" s="18" t="s">
        <v>230</v>
      </c>
      <c r="B222" s="22">
        <v>907</v>
      </c>
      <c r="C222" s="19" t="s">
        <v>12</v>
      </c>
      <c r="D222" s="19" t="s">
        <v>16</v>
      </c>
      <c r="E222" s="19" t="s">
        <v>232</v>
      </c>
      <c r="F222" s="19"/>
      <c r="G222" s="20">
        <f>G223</f>
        <v>2752.5</v>
      </c>
      <c r="H222" s="20">
        <f>H223</f>
        <v>2521.2999999999997</v>
      </c>
      <c r="I222" s="20">
        <f>I223</f>
        <v>2521.2999999999997</v>
      </c>
      <c r="K222" s="116"/>
    </row>
    <row r="223" spans="1:13" s="29" customFormat="1" ht="51" customHeight="1" x14ac:dyDescent="0.2">
      <c r="A223" s="34" t="s">
        <v>66</v>
      </c>
      <c r="B223" s="36">
        <v>907</v>
      </c>
      <c r="C223" s="27" t="s">
        <v>12</v>
      </c>
      <c r="D223" s="27" t="s">
        <v>16</v>
      </c>
      <c r="E223" s="27" t="s">
        <v>232</v>
      </c>
      <c r="F223" s="30" t="s">
        <v>67</v>
      </c>
      <c r="G223" s="28">
        <f>615.8+1710.9+186+8.6+129.9+101.3</f>
        <v>2752.5</v>
      </c>
      <c r="H223" s="28">
        <f>615.8+1710.9+186+8.6</f>
        <v>2521.2999999999997</v>
      </c>
      <c r="I223" s="28">
        <f>615.8+1710.9+186+8.6</f>
        <v>2521.2999999999997</v>
      </c>
      <c r="K223" s="116"/>
    </row>
    <row r="224" spans="1:13" s="9" customFormat="1" x14ac:dyDescent="0.2">
      <c r="A224" s="11" t="s">
        <v>24</v>
      </c>
      <c r="B224" s="14">
        <v>907</v>
      </c>
      <c r="C224" s="8" t="s">
        <v>12</v>
      </c>
      <c r="D224" s="8" t="s">
        <v>61</v>
      </c>
      <c r="E224" s="8"/>
      <c r="F224" s="8"/>
      <c r="G224" s="4">
        <f t="shared" ref="G224:I225" si="34">G225</f>
        <v>83.5</v>
      </c>
      <c r="H224" s="4">
        <f t="shared" si="34"/>
        <v>73.5</v>
      </c>
      <c r="I224" s="4">
        <f t="shared" si="34"/>
        <v>73.5</v>
      </c>
      <c r="K224" s="116"/>
    </row>
    <row r="225" spans="1:13" x14ac:dyDescent="0.2">
      <c r="A225" s="18" t="s">
        <v>234</v>
      </c>
      <c r="B225" s="22">
        <v>907</v>
      </c>
      <c r="C225" s="19" t="s">
        <v>12</v>
      </c>
      <c r="D225" s="19" t="s">
        <v>61</v>
      </c>
      <c r="E225" s="19" t="s">
        <v>233</v>
      </c>
      <c r="F225" s="19"/>
      <c r="G225" s="20">
        <f t="shared" si="34"/>
        <v>83.5</v>
      </c>
      <c r="H225" s="20">
        <f t="shared" si="34"/>
        <v>73.5</v>
      </c>
      <c r="I225" s="20">
        <f t="shared" si="34"/>
        <v>73.5</v>
      </c>
      <c r="K225" s="116"/>
    </row>
    <row r="226" spans="1:13" s="29" customFormat="1" x14ac:dyDescent="0.2">
      <c r="A226" s="31" t="s">
        <v>69</v>
      </c>
      <c r="B226" s="35">
        <v>907</v>
      </c>
      <c r="C226" s="27" t="s">
        <v>12</v>
      </c>
      <c r="D226" s="27" t="s">
        <v>61</v>
      </c>
      <c r="E226" s="27" t="s">
        <v>233</v>
      </c>
      <c r="F226" s="27" t="s">
        <v>70</v>
      </c>
      <c r="G226" s="28">
        <f>73.5+10</f>
        <v>83.5</v>
      </c>
      <c r="H226" s="28">
        <v>73.5</v>
      </c>
      <c r="I226" s="28">
        <v>73.5</v>
      </c>
      <c r="K226" s="116"/>
    </row>
    <row r="227" spans="1:13" s="9" customFormat="1" ht="25.5" x14ac:dyDescent="0.2">
      <c r="A227" s="47" t="s">
        <v>46</v>
      </c>
      <c r="B227" s="44">
        <v>911</v>
      </c>
      <c r="C227" s="48"/>
      <c r="D227" s="48"/>
      <c r="E227" s="48"/>
      <c r="F227" s="48"/>
      <c r="G227" s="46">
        <f>G228+G310</f>
        <v>1166568.3999999999</v>
      </c>
      <c r="H227" s="46">
        <f>H228+H310</f>
        <v>1052963.3</v>
      </c>
      <c r="I227" s="46">
        <f>I228+I310</f>
        <v>1053131.8999999999</v>
      </c>
      <c r="K227" s="114"/>
    </row>
    <row r="228" spans="1:13" s="3" customFormat="1" x14ac:dyDescent="0.2">
      <c r="A228" s="13" t="s">
        <v>37</v>
      </c>
      <c r="B228" s="49">
        <v>911</v>
      </c>
      <c r="C228" s="1" t="s">
        <v>19</v>
      </c>
      <c r="D228" s="1"/>
      <c r="E228" s="1"/>
      <c r="F228" s="1"/>
      <c r="G228" s="2">
        <f>G229+G241+G270+G275</f>
        <v>1113856</v>
      </c>
      <c r="H228" s="2">
        <f>H229+H241+H270+H275</f>
        <v>1000162.9000000001</v>
      </c>
      <c r="I228" s="2">
        <f>I229+I241+I270+I275</f>
        <v>1000619.5</v>
      </c>
      <c r="K228" s="116"/>
    </row>
    <row r="229" spans="1:13" s="9" customFormat="1" x14ac:dyDescent="0.2">
      <c r="A229" s="11" t="s">
        <v>38</v>
      </c>
      <c r="B229" s="14">
        <v>911</v>
      </c>
      <c r="C229" s="8" t="s">
        <v>19</v>
      </c>
      <c r="D229" s="8" t="s">
        <v>12</v>
      </c>
      <c r="E229" s="8"/>
      <c r="F229" s="8"/>
      <c r="G229" s="4">
        <f>G230+G232+G236</f>
        <v>414419.89999999997</v>
      </c>
      <c r="H229" s="4">
        <f t="shared" ref="H229:I229" si="35">H230+H232+H236</f>
        <v>353157.5</v>
      </c>
      <c r="I229" s="4">
        <f t="shared" si="35"/>
        <v>353540.8</v>
      </c>
      <c r="K229" s="116"/>
    </row>
    <row r="230" spans="1:13" x14ac:dyDescent="0.2">
      <c r="A230" s="18" t="s">
        <v>179</v>
      </c>
      <c r="B230" s="22">
        <v>911</v>
      </c>
      <c r="C230" s="19" t="s">
        <v>19</v>
      </c>
      <c r="D230" s="19" t="s">
        <v>12</v>
      </c>
      <c r="E230" s="27" t="s">
        <v>178</v>
      </c>
      <c r="F230" s="19"/>
      <c r="G230" s="20">
        <f>G231</f>
        <v>155.6</v>
      </c>
      <c r="H230" s="20">
        <f>H231</f>
        <v>0</v>
      </c>
      <c r="I230" s="20">
        <f>I231</f>
        <v>0</v>
      </c>
      <c r="K230" s="116"/>
    </row>
    <row r="231" spans="1:13" s="29" customFormat="1" ht="25.5" x14ac:dyDescent="0.2">
      <c r="A231" s="31" t="s">
        <v>83</v>
      </c>
      <c r="B231" s="22">
        <v>911</v>
      </c>
      <c r="C231" s="19" t="s">
        <v>19</v>
      </c>
      <c r="D231" s="19" t="s">
        <v>12</v>
      </c>
      <c r="E231" s="27" t="s">
        <v>178</v>
      </c>
      <c r="F231" s="27" t="s">
        <v>71</v>
      </c>
      <c r="G231" s="28">
        <f>155.6-155.6+155.6</f>
        <v>155.6</v>
      </c>
      <c r="H231" s="28"/>
      <c r="I231" s="28"/>
      <c r="K231" s="116"/>
    </row>
    <row r="232" spans="1:13" ht="51" x14ac:dyDescent="0.2">
      <c r="A232" s="88" t="s">
        <v>373</v>
      </c>
      <c r="B232" s="22">
        <v>911</v>
      </c>
      <c r="C232" s="19" t="s">
        <v>19</v>
      </c>
      <c r="D232" s="19" t="s">
        <v>12</v>
      </c>
      <c r="E232" s="19" t="s">
        <v>124</v>
      </c>
      <c r="F232" s="19"/>
      <c r="G232" s="20">
        <f>G235+G233+G234</f>
        <v>222002.29999999996</v>
      </c>
      <c r="H232" s="20">
        <f t="shared" ref="H232:I232" si="36">H235+H233+H234</f>
        <v>216433.3</v>
      </c>
      <c r="I232" s="20">
        <f t="shared" si="36"/>
        <v>216433.3</v>
      </c>
      <c r="K232" s="116"/>
    </row>
    <row r="233" spans="1:13" ht="49.5" customHeight="1" x14ac:dyDescent="0.2">
      <c r="A233" s="34" t="s">
        <v>66</v>
      </c>
      <c r="B233" s="26">
        <v>911</v>
      </c>
      <c r="C233" s="27" t="s">
        <v>19</v>
      </c>
      <c r="D233" s="27" t="s">
        <v>12</v>
      </c>
      <c r="E233" s="27" t="s">
        <v>124</v>
      </c>
      <c r="F233" s="30" t="s">
        <v>67</v>
      </c>
      <c r="G233" s="28">
        <f>21839+6595.4+2952.7+891.7+3741.2+753.3</f>
        <v>36773.300000000003</v>
      </c>
      <c r="H233" s="28">
        <f>21839+6595.4+2952.7+891.7</f>
        <v>32278.800000000003</v>
      </c>
      <c r="I233" s="28">
        <f>21839+6595.4+2952.7+891.7</f>
        <v>32278.800000000003</v>
      </c>
      <c r="K233" s="116"/>
    </row>
    <row r="234" spans="1:13" ht="25.5" x14ac:dyDescent="0.2">
      <c r="A234" s="31" t="s">
        <v>76</v>
      </c>
      <c r="B234" s="26">
        <v>911</v>
      </c>
      <c r="C234" s="27" t="s">
        <v>19</v>
      </c>
      <c r="D234" s="27" t="s">
        <v>12</v>
      </c>
      <c r="E234" s="27" t="s">
        <v>124</v>
      </c>
      <c r="F234" s="30" t="s">
        <v>68</v>
      </c>
      <c r="G234" s="28">
        <f>21+43.7+30+20+27.9+1.3</f>
        <v>143.9</v>
      </c>
      <c r="H234" s="28">
        <f>21+43.7+30+20</f>
        <v>114.7</v>
      </c>
      <c r="I234" s="28">
        <f>21+43.7+30+20</f>
        <v>114.7</v>
      </c>
      <c r="K234" s="116"/>
    </row>
    <row r="235" spans="1:13" s="29" customFormat="1" ht="25.5" x14ac:dyDescent="0.2">
      <c r="A235" s="31" t="s">
        <v>144</v>
      </c>
      <c r="B235" s="35">
        <v>911</v>
      </c>
      <c r="C235" s="27" t="s">
        <v>19</v>
      </c>
      <c r="D235" s="27" t="s">
        <v>12</v>
      </c>
      <c r="E235" s="27" t="s">
        <v>124</v>
      </c>
      <c r="F235" s="27" t="s">
        <v>65</v>
      </c>
      <c r="G235" s="28">
        <f>111038.5+33533.6+358.5+218.7+150+492.3+12536.5+3786+30+30.3+36.5+75+15013.1+4533.9+1695+511.9-3769.1+4814.4</f>
        <v>185085.09999999998</v>
      </c>
      <c r="H235" s="28">
        <f>111038.5+33533.6+358.5+218.7+150+492.3+12536.5+3786+30+30.3+36.5+75+15013.1+4533.9+1695+511.9</f>
        <v>184039.8</v>
      </c>
      <c r="I235" s="28">
        <f>111038.5+33533.6+358.5+218.7+150+492.3+12536.5+3786+30+30.3+36.5+75+15013.1+4533.9+1695+511.9</f>
        <v>184039.8</v>
      </c>
      <c r="K235" s="116"/>
    </row>
    <row r="236" spans="1:13" ht="63.75" x14ac:dyDescent="0.2">
      <c r="A236" s="18" t="s">
        <v>355</v>
      </c>
      <c r="B236" s="22">
        <v>911</v>
      </c>
      <c r="C236" s="19" t="s">
        <v>19</v>
      </c>
      <c r="D236" s="19" t="s">
        <v>12</v>
      </c>
      <c r="E236" s="19" t="s">
        <v>244</v>
      </c>
      <c r="F236" s="19"/>
      <c r="G236" s="20">
        <f>G239+G238+G237+G240</f>
        <v>192262</v>
      </c>
      <c r="H236" s="20">
        <f>H239+H238+H237+H240</f>
        <v>136724.19999999998</v>
      </c>
      <c r="I236" s="20">
        <f>I239+I238+I237+I240</f>
        <v>137107.5</v>
      </c>
      <c r="K236" s="116"/>
    </row>
    <row r="237" spans="1:13" ht="53.25" customHeight="1" x14ac:dyDescent="0.2">
      <c r="A237" s="34" t="s">
        <v>66</v>
      </c>
      <c r="B237" s="22">
        <v>911</v>
      </c>
      <c r="C237" s="19" t="s">
        <v>19</v>
      </c>
      <c r="D237" s="19" t="s">
        <v>12</v>
      </c>
      <c r="E237" s="19" t="s">
        <v>244</v>
      </c>
      <c r="F237" s="19" t="s">
        <v>67</v>
      </c>
      <c r="G237" s="20">
        <f>11713.1+1122.7+103.8+245.8-7.3+1452.8+7196.3</f>
        <v>21827.200000000001</v>
      </c>
      <c r="H237" s="20">
        <f>11713.1+103.8+324.7</f>
        <v>12141.6</v>
      </c>
      <c r="I237" s="20">
        <f>11713.1+103.8+405.4</f>
        <v>12222.3</v>
      </c>
      <c r="K237" s="116"/>
    </row>
    <row r="238" spans="1:13" ht="25.5" x14ac:dyDescent="0.2">
      <c r="A238" s="31" t="s">
        <v>76</v>
      </c>
      <c r="B238" s="26">
        <v>911</v>
      </c>
      <c r="C238" s="27" t="s">
        <v>19</v>
      </c>
      <c r="D238" s="27" t="s">
        <v>12</v>
      </c>
      <c r="E238" s="27" t="s">
        <v>244</v>
      </c>
      <c r="F238" s="30" t="s">
        <v>68</v>
      </c>
      <c r="G238" s="28">
        <f>4493.7+3188+39.5+368+50.9+300+150+23+275.5-40+1285.2-7.5-61.5+180+1356</f>
        <v>11600.8</v>
      </c>
      <c r="H238" s="28">
        <f>4493.7+3188</f>
        <v>7681.7</v>
      </c>
      <c r="I238" s="28">
        <f>4493.7+3188</f>
        <v>7681.7</v>
      </c>
      <c r="K238" s="116"/>
    </row>
    <row r="239" spans="1:13" s="29" customFormat="1" ht="25.5" x14ac:dyDescent="0.2">
      <c r="A239" s="31" t="s">
        <v>144</v>
      </c>
      <c r="B239" s="35">
        <v>911</v>
      </c>
      <c r="C239" s="27" t="s">
        <v>19</v>
      </c>
      <c r="D239" s="27" t="s">
        <v>12</v>
      </c>
      <c r="E239" s="27" t="s">
        <v>244</v>
      </c>
      <c r="F239" s="27" t="s">
        <v>65</v>
      </c>
      <c r="G239" s="28">
        <f>113285.5-1122.7+737+920.2+3.7-627.9-8.1-345-111.5+476.7+303+80-1709.5+55.5-155-13.4+20+35998.7+50+2+310.8+853.2+9605.3</f>
        <v>158608.5</v>
      </c>
      <c r="H239" s="28">
        <f>114832.4+737+1215.5</f>
        <v>116784.9</v>
      </c>
      <c r="I239" s="28">
        <f>114832.4+737+1518.1</f>
        <v>117087.5</v>
      </c>
      <c r="J239" s="21"/>
      <c r="K239" s="116"/>
      <c r="L239" s="21"/>
      <c r="M239" s="21"/>
    </row>
    <row r="240" spans="1:13" s="29" customFormat="1" x14ac:dyDescent="0.2">
      <c r="A240" s="31" t="s">
        <v>72</v>
      </c>
      <c r="B240" s="35">
        <v>911</v>
      </c>
      <c r="C240" s="27" t="s">
        <v>19</v>
      </c>
      <c r="D240" s="27" t="s">
        <v>12</v>
      </c>
      <c r="E240" s="27" t="s">
        <v>244</v>
      </c>
      <c r="F240" s="27" t="s">
        <v>73</v>
      </c>
      <c r="G240" s="28">
        <f>116+35+5+50+19.5</f>
        <v>225.5</v>
      </c>
      <c r="H240" s="28">
        <v>116</v>
      </c>
      <c r="I240" s="28">
        <v>116</v>
      </c>
      <c r="J240" s="21"/>
      <c r="K240" s="114"/>
      <c r="L240" s="21"/>
      <c r="M240" s="21"/>
    </row>
    <row r="241" spans="1:13" s="9" customFormat="1" x14ac:dyDescent="0.2">
      <c r="A241" s="11" t="s">
        <v>39</v>
      </c>
      <c r="B241" s="14">
        <v>911</v>
      </c>
      <c r="C241" s="8" t="s">
        <v>19</v>
      </c>
      <c r="D241" s="8" t="s">
        <v>14</v>
      </c>
      <c r="E241" s="8"/>
      <c r="F241" s="8"/>
      <c r="G241" s="4">
        <f>G242+G246+G250+G252+G254+G258+G267+G264+G261</f>
        <v>480513.30000000005</v>
      </c>
      <c r="H241" s="4">
        <f t="shared" ref="H241:I241" si="37">H242+H246+H250+H252+H254+H258+H267+H264+H261</f>
        <v>454697.50000000012</v>
      </c>
      <c r="I241" s="4">
        <f t="shared" si="37"/>
        <v>454697.50000000012</v>
      </c>
      <c r="K241" s="116"/>
    </row>
    <row r="242" spans="1:13" ht="24.75" customHeight="1" x14ac:dyDescent="0.2">
      <c r="A242" s="18" t="s">
        <v>235</v>
      </c>
      <c r="B242" s="22">
        <v>911</v>
      </c>
      <c r="C242" s="19" t="s">
        <v>19</v>
      </c>
      <c r="D242" s="19" t="s">
        <v>14</v>
      </c>
      <c r="E242" s="19" t="s">
        <v>122</v>
      </c>
      <c r="F242" s="19"/>
      <c r="G242" s="20">
        <f>G243+G244+G245</f>
        <v>45895.600000000006</v>
      </c>
      <c r="H242" s="20">
        <f>H243+H244+H245</f>
        <v>49380.800000000003</v>
      </c>
      <c r="I242" s="20">
        <f>I243+I244+I245</f>
        <v>49380.800000000003</v>
      </c>
      <c r="K242" s="116"/>
    </row>
    <row r="243" spans="1:13" s="29" customFormat="1" ht="50.25" customHeight="1" x14ac:dyDescent="0.2">
      <c r="A243" s="26" t="s">
        <v>66</v>
      </c>
      <c r="B243" s="35">
        <v>911</v>
      </c>
      <c r="C243" s="27" t="s">
        <v>19</v>
      </c>
      <c r="D243" s="27" t="s">
        <v>14</v>
      </c>
      <c r="E243" s="27" t="s">
        <v>122</v>
      </c>
      <c r="F243" s="30" t="s">
        <v>67</v>
      </c>
      <c r="G243" s="28">
        <f>29001.8+8758.5+5+114.5+34.6-3580+26.3</f>
        <v>34360.700000000004</v>
      </c>
      <c r="H243" s="28">
        <f>29001.8+8758.5+5+114.5+34.6</f>
        <v>37914.400000000001</v>
      </c>
      <c r="I243" s="28">
        <f>29001.8+8758.5+5+114.5+34.6</f>
        <v>37914.400000000001</v>
      </c>
      <c r="J243" s="21"/>
      <c r="K243" s="116"/>
      <c r="L243" s="21"/>
      <c r="M243" s="21"/>
    </row>
    <row r="244" spans="1:13" s="29" customFormat="1" ht="24.75" customHeight="1" x14ac:dyDescent="0.2">
      <c r="A244" s="31" t="s">
        <v>76</v>
      </c>
      <c r="B244" s="35">
        <v>911</v>
      </c>
      <c r="C244" s="27" t="s">
        <v>19</v>
      </c>
      <c r="D244" s="27" t="s">
        <v>14</v>
      </c>
      <c r="E244" s="27" t="s">
        <v>122</v>
      </c>
      <c r="F244" s="30" t="s">
        <v>68</v>
      </c>
      <c r="G244" s="28">
        <f>28+351.8+2783.6+779.5+95.3+26.1+11+722.2+4314.7+20+960.5+142+350.6+30+36.1+94.8-26.3</f>
        <v>10719.900000000001</v>
      </c>
      <c r="H244" s="28">
        <f>28+351.8+2783.6+779.5+95.3+26.1+11+722.2+4314.7+20+960.5+142+350.6+30+36.1</f>
        <v>10651.400000000001</v>
      </c>
      <c r="I244" s="28">
        <f>28+351.8+2783.6+779.5+95.3+26.1+11+722.2+4314.7+20+960.5+142+350.6+30+36.1</f>
        <v>10651.400000000001</v>
      </c>
      <c r="J244" s="21"/>
      <c r="K244" s="116"/>
      <c r="L244" s="21"/>
      <c r="M244" s="21"/>
    </row>
    <row r="245" spans="1:13" s="29" customFormat="1" x14ac:dyDescent="0.2">
      <c r="A245" s="31" t="s">
        <v>72</v>
      </c>
      <c r="B245" s="35">
        <v>911</v>
      </c>
      <c r="C245" s="27" t="s">
        <v>19</v>
      </c>
      <c r="D245" s="27" t="s">
        <v>14</v>
      </c>
      <c r="E245" s="27" t="s">
        <v>122</v>
      </c>
      <c r="F245" s="27" t="s">
        <v>73</v>
      </c>
      <c r="G245" s="28">
        <f>5+800+5+5</f>
        <v>815</v>
      </c>
      <c r="H245" s="28">
        <f>5+800+5+5</f>
        <v>815</v>
      </c>
      <c r="I245" s="28">
        <f>5+800+5+5</f>
        <v>815</v>
      </c>
      <c r="J245" s="21"/>
      <c r="K245" s="114"/>
      <c r="L245" s="21"/>
      <c r="M245" s="21"/>
    </row>
    <row r="246" spans="1:13" ht="76.5" x14ac:dyDescent="0.2">
      <c r="A246" s="18" t="s">
        <v>236</v>
      </c>
      <c r="B246" s="22">
        <v>911</v>
      </c>
      <c r="C246" s="19" t="s">
        <v>19</v>
      </c>
      <c r="D246" s="19" t="s">
        <v>14</v>
      </c>
      <c r="E246" s="19" t="s">
        <v>120</v>
      </c>
      <c r="F246" s="19"/>
      <c r="G246" s="20">
        <f>G249+G247+G248</f>
        <v>365785.20000000007</v>
      </c>
      <c r="H246" s="20">
        <f>H249+H247+H248</f>
        <v>350381.30000000005</v>
      </c>
      <c r="I246" s="20">
        <f>I249+I247+I248</f>
        <v>350381.30000000005</v>
      </c>
      <c r="K246" s="116"/>
    </row>
    <row r="247" spans="1:13" s="29" customFormat="1" ht="63.75" x14ac:dyDescent="0.2">
      <c r="A247" s="26" t="s">
        <v>66</v>
      </c>
      <c r="B247" s="35">
        <v>911</v>
      </c>
      <c r="C247" s="27" t="s">
        <v>19</v>
      </c>
      <c r="D247" s="27" t="s">
        <v>14</v>
      </c>
      <c r="E247" s="27" t="s">
        <v>120</v>
      </c>
      <c r="F247" s="30" t="s">
        <v>67</v>
      </c>
      <c r="G247" s="28">
        <f>46870+14154.7+3692+1114.9+3397.6</f>
        <v>69229.2</v>
      </c>
      <c r="H247" s="28">
        <f>46870+14154.7+3692+1114.9</f>
        <v>65831.599999999991</v>
      </c>
      <c r="I247" s="28">
        <f>46870+14154.7+3692+1114.9</f>
        <v>65831.599999999991</v>
      </c>
      <c r="J247" s="21"/>
      <c r="K247" s="116"/>
      <c r="L247" s="21"/>
      <c r="M247" s="21"/>
    </row>
    <row r="248" spans="1:13" s="29" customFormat="1" ht="25.5" x14ac:dyDescent="0.2">
      <c r="A248" s="31" t="s">
        <v>76</v>
      </c>
      <c r="B248" s="35">
        <v>911</v>
      </c>
      <c r="C248" s="27" t="s">
        <v>19</v>
      </c>
      <c r="D248" s="27" t="s">
        <v>14</v>
      </c>
      <c r="E248" s="27" t="s">
        <v>120</v>
      </c>
      <c r="F248" s="30" t="s">
        <v>68</v>
      </c>
      <c r="G248" s="28">
        <f>1570.2+6.9+51.2+40.4+9+78.5+207.6</f>
        <v>1963.8000000000002</v>
      </c>
      <c r="H248" s="28">
        <f>1570.2+6.9+51.2+40.4+9+78.5</f>
        <v>1756.2000000000003</v>
      </c>
      <c r="I248" s="28">
        <f>1570.2+6.9+51.2+40.4+9+78.5</f>
        <v>1756.2000000000003</v>
      </c>
      <c r="J248" s="21"/>
      <c r="K248" s="116"/>
      <c r="L248" s="21"/>
      <c r="M248" s="21"/>
    </row>
    <row r="249" spans="1:13" s="29" customFormat="1" ht="25.5" x14ac:dyDescent="0.2">
      <c r="A249" s="31" t="s">
        <v>144</v>
      </c>
      <c r="B249" s="35">
        <v>911</v>
      </c>
      <c r="C249" s="27" t="s">
        <v>19</v>
      </c>
      <c r="D249" s="27" t="s">
        <v>14</v>
      </c>
      <c r="E249" s="27" t="s">
        <v>120</v>
      </c>
      <c r="F249" s="27" t="s">
        <v>65</v>
      </c>
      <c r="G249" s="28">
        <f>182265.5+55044.2+1832.9+360+227.2+20.8+135+2800.5+14983+4524.9+24.4+19.9+41.1+15+251.7+14357+4335.8+17.6+1180.2+356.4+0.4+11798.7</f>
        <v>294592.20000000007</v>
      </c>
      <c r="H249" s="28">
        <f>182265.5+55044.2+1832.9+360+227.2+20.8+135+2800.5+14983+4524.9+24.4+19.9+41.1+15+251.7+14357+4335.8+17.6+1180.2+356.4+0.4</f>
        <v>282793.50000000006</v>
      </c>
      <c r="I249" s="28">
        <f>182265.5+55044.2+1832.9+360+227.2+20.8+135+2800.5+14983+4524.9+24.4+19.9+41.1+15+251.7+14357+4335.8+17.6+1180.2+356.4+0.4</f>
        <v>282793.50000000006</v>
      </c>
      <c r="J249" s="21"/>
      <c r="K249" s="116"/>
      <c r="L249" s="21"/>
      <c r="M249" s="21"/>
    </row>
    <row r="250" spans="1:13" ht="38.25" x14ac:dyDescent="0.2">
      <c r="A250" s="18" t="s">
        <v>237</v>
      </c>
      <c r="B250" s="22">
        <v>911</v>
      </c>
      <c r="C250" s="19" t="s">
        <v>19</v>
      </c>
      <c r="D250" s="19" t="s">
        <v>14</v>
      </c>
      <c r="E250" s="19" t="s">
        <v>121</v>
      </c>
      <c r="F250" s="19"/>
      <c r="G250" s="20">
        <f>G251</f>
        <v>3738</v>
      </c>
      <c r="H250" s="20">
        <f>H251</f>
        <v>3738</v>
      </c>
      <c r="I250" s="20">
        <f>I251</f>
        <v>3738</v>
      </c>
      <c r="K250" s="114"/>
    </row>
    <row r="251" spans="1:13" s="29" customFormat="1" ht="25.5" x14ac:dyDescent="0.2">
      <c r="A251" s="31" t="s">
        <v>76</v>
      </c>
      <c r="B251" s="35">
        <v>911</v>
      </c>
      <c r="C251" s="27" t="s">
        <v>19</v>
      </c>
      <c r="D251" s="27" t="s">
        <v>14</v>
      </c>
      <c r="E251" s="27" t="s">
        <v>121</v>
      </c>
      <c r="F251" s="30" t="s">
        <v>68</v>
      </c>
      <c r="G251" s="28">
        <v>3738</v>
      </c>
      <c r="H251" s="28">
        <v>3738</v>
      </c>
      <c r="I251" s="28">
        <v>3738</v>
      </c>
      <c r="J251" s="21"/>
      <c r="K251" s="114"/>
      <c r="L251" s="21"/>
      <c r="M251" s="21"/>
    </row>
    <row r="252" spans="1:13" ht="63.75" x14ac:dyDescent="0.2">
      <c r="A252" s="18" t="s">
        <v>355</v>
      </c>
      <c r="B252" s="22">
        <v>911</v>
      </c>
      <c r="C252" s="19" t="s">
        <v>19</v>
      </c>
      <c r="D252" s="19" t="s">
        <v>14</v>
      </c>
      <c r="E252" s="19" t="s">
        <v>239</v>
      </c>
      <c r="F252" s="19"/>
      <c r="G252" s="20">
        <f>G253</f>
        <v>53812.6</v>
      </c>
      <c r="H252" s="20">
        <f>H253</f>
        <v>41495.4</v>
      </c>
      <c r="I252" s="20">
        <f>I253</f>
        <v>41495.4</v>
      </c>
      <c r="K252" s="116"/>
    </row>
    <row r="253" spans="1:13" s="29" customFormat="1" ht="25.5" x14ac:dyDescent="0.2">
      <c r="A253" s="31" t="s">
        <v>144</v>
      </c>
      <c r="B253" s="35">
        <v>911</v>
      </c>
      <c r="C253" s="27" t="s">
        <v>19</v>
      </c>
      <c r="D253" s="27" t="s">
        <v>14</v>
      </c>
      <c r="E253" s="27" t="s">
        <v>239</v>
      </c>
      <c r="F253" s="27" t="s">
        <v>65</v>
      </c>
      <c r="G253" s="28">
        <f>39251.1-39.5+167.2-120-923.6-115.9-15+6590.2-144.7-167.2-895.2-216+108.7-25+40-4050.9-4.5-50.4+1291.3+797.5+12334.5</f>
        <v>53812.6</v>
      </c>
      <c r="H253" s="28">
        <v>41495.4</v>
      </c>
      <c r="I253" s="28">
        <v>41495.4</v>
      </c>
      <c r="J253" s="21"/>
      <c r="K253" s="116"/>
      <c r="L253" s="21"/>
      <c r="M253" s="21"/>
    </row>
    <row r="254" spans="1:13" ht="63.75" x14ac:dyDescent="0.2">
      <c r="A254" s="18" t="s">
        <v>242</v>
      </c>
      <c r="B254" s="22">
        <v>911</v>
      </c>
      <c r="C254" s="19" t="s">
        <v>19</v>
      </c>
      <c r="D254" s="19" t="s">
        <v>14</v>
      </c>
      <c r="E254" s="19" t="s">
        <v>241</v>
      </c>
      <c r="F254" s="19"/>
      <c r="G254" s="20">
        <f>G255+G256+G257</f>
        <v>8811.8000000000011</v>
      </c>
      <c r="H254" s="20">
        <f>H255+H256+H257</f>
        <v>7181.9000000000005</v>
      </c>
      <c r="I254" s="20">
        <f>I255+I256+I257</f>
        <v>7181.9000000000005</v>
      </c>
      <c r="K254" s="116"/>
    </row>
    <row r="255" spans="1:13" s="29" customFormat="1" ht="54.75" customHeight="1" x14ac:dyDescent="0.2">
      <c r="A255" s="34" t="s">
        <v>66</v>
      </c>
      <c r="B255" s="36">
        <v>911</v>
      </c>
      <c r="C255" s="27" t="s">
        <v>19</v>
      </c>
      <c r="D255" s="27" t="s">
        <v>14</v>
      </c>
      <c r="E255" s="27" t="s">
        <v>241</v>
      </c>
      <c r="F255" s="30" t="s">
        <v>67</v>
      </c>
      <c r="G255" s="28">
        <f>4.6+6</f>
        <v>10.6</v>
      </c>
      <c r="H255" s="28">
        <v>4.5999999999999996</v>
      </c>
      <c r="I255" s="28">
        <v>4.5999999999999996</v>
      </c>
      <c r="K255" s="114"/>
    </row>
    <row r="256" spans="1:13" s="29" customFormat="1" ht="25.5" x14ac:dyDescent="0.2">
      <c r="A256" s="31" t="s">
        <v>76</v>
      </c>
      <c r="B256" s="36">
        <v>911</v>
      </c>
      <c r="C256" s="27" t="s">
        <v>19</v>
      </c>
      <c r="D256" s="27" t="s">
        <v>14</v>
      </c>
      <c r="E256" s="27" t="s">
        <v>241</v>
      </c>
      <c r="F256" s="30" t="s">
        <v>68</v>
      </c>
      <c r="G256" s="28">
        <f>7177.3-474.5-167.2+697.2-1237.5-125-6+167.2+50+50-263.7+5+50+1187.5+167.7+532.1-148.9+661.5</f>
        <v>8322.7000000000007</v>
      </c>
      <c r="H256" s="28">
        <f>7177.3-474.5</f>
        <v>6702.8</v>
      </c>
      <c r="I256" s="28">
        <f>7177.3-474.5</f>
        <v>6702.8</v>
      </c>
      <c r="K256" s="116"/>
    </row>
    <row r="257" spans="1:11" s="29" customFormat="1" x14ac:dyDescent="0.2">
      <c r="A257" s="31" t="s">
        <v>72</v>
      </c>
      <c r="B257" s="35">
        <v>911</v>
      </c>
      <c r="C257" s="27" t="s">
        <v>19</v>
      </c>
      <c r="D257" s="27" t="s">
        <v>14</v>
      </c>
      <c r="E257" s="27" t="s">
        <v>241</v>
      </c>
      <c r="F257" s="27" t="s">
        <v>73</v>
      </c>
      <c r="G257" s="28">
        <f>474.5+20+2-18</f>
        <v>478.5</v>
      </c>
      <c r="H257" s="28">
        <v>474.5</v>
      </c>
      <c r="I257" s="28">
        <v>474.5</v>
      </c>
      <c r="K257" s="116"/>
    </row>
    <row r="258" spans="1:11" ht="63.75" x14ac:dyDescent="0.2">
      <c r="A258" s="18" t="s">
        <v>242</v>
      </c>
      <c r="B258" s="22">
        <v>911</v>
      </c>
      <c r="C258" s="19" t="s">
        <v>19</v>
      </c>
      <c r="D258" s="19" t="s">
        <v>14</v>
      </c>
      <c r="E258" s="19" t="s">
        <v>245</v>
      </c>
      <c r="F258" s="19"/>
      <c r="G258" s="20">
        <f>G259+G260</f>
        <v>784.4</v>
      </c>
      <c r="H258" s="20">
        <f>H259+H260</f>
        <v>834.4</v>
      </c>
      <c r="I258" s="20">
        <f>I259+I260</f>
        <v>834.4</v>
      </c>
      <c r="K258" s="114"/>
    </row>
    <row r="259" spans="1:11" s="29" customFormat="1" ht="25.5" x14ac:dyDescent="0.2">
      <c r="A259" s="31" t="s">
        <v>76</v>
      </c>
      <c r="B259" s="36">
        <v>911</v>
      </c>
      <c r="C259" s="27" t="s">
        <v>19</v>
      </c>
      <c r="D259" s="27" t="s">
        <v>14</v>
      </c>
      <c r="E259" s="27" t="s">
        <v>245</v>
      </c>
      <c r="F259" s="30" t="s">
        <v>68</v>
      </c>
      <c r="G259" s="28">
        <f>564.4+200</f>
        <v>764.4</v>
      </c>
      <c r="H259" s="28">
        <f>564.4+200</f>
        <v>764.4</v>
      </c>
      <c r="I259" s="28">
        <f>564.4+200</f>
        <v>764.4</v>
      </c>
      <c r="K259" s="114"/>
    </row>
    <row r="260" spans="1:11" s="29" customFormat="1" x14ac:dyDescent="0.2">
      <c r="A260" s="31" t="s">
        <v>72</v>
      </c>
      <c r="B260" s="35">
        <v>911</v>
      </c>
      <c r="C260" s="27" t="s">
        <v>19</v>
      </c>
      <c r="D260" s="27" t="s">
        <v>14</v>
      </c>
      <c r="E260" s="27" t="s">
        <v>245</v>
      </c>
      <c r="F260" s="27" t="s">
        <v>73</v>
      </c>
      <c r="G260" s="28">
        <f>70-50</f>
        <v>20</v>
      </c>
      <c r="H260" s="28">
        <f>70</f>
        <v>70</v>
      </c>
      <c r="I260" s="28">
        <f>70</f>
        <v>70</v>
      </c>
      <c r="K260" s="114"/>
    </row>
    <row r="261" spans="1:11" ht="25.5" x14ac:dyDescent="0.2">
      <c r="A261" s="18" t="s">
        <v>238</v>
      </c>
      <c r="B261" s="18">
        <v>911</v>
      </c>
      <c r="C261" s="19" t="s">
        <v>19</v>
      </c>
      <c r="D261" s="19" t="s">
        <v>14</v>
      </c>
      <c r="E261" s="19" t="s">
        <v>139</v>
      </c>
      <c r="F261" s="19"/>
      <c r="G261" s="20">
        <f>G263+G262</f>
        <v>249.70000000000005</v>
      </c>
      <c r="H261" s="20">
        <f t="shared" ref="H261:I261" si="38">H263+H262</f>
        <v>249.70000000000005</v>
      </c>
      <c r="I261" s="20">
        <f t="shared" si="38"/>
        <v>249.70000000000005</v>
      </c>
      <c r="K261" s="114"/>
    </row>
    <row r="262" spans="1:11" s="29" customFormat="1" ht="25.5" x14ac:dyDescent="0.2">
      <c r="A262" s="31" t="s">
        <v>76</v>
      </c>
      <c r="B262" s="31">
        <v>911</v>
      </c>
      <c r="C262" s="27" t="s">
        <v>19</v>
      </c>
      <c r="D262" s="27" t="s">
        <v>14</v>
      </c>
      <c r="E262" s="27" t="s">
        <v>139</v>
      </c>
      <c r="F262" s="30" t="s">
        <v>68</v>
      </c>
      <c r="G262" s="28">
        <f>29.5+28.2</f>
        <v>57.7</v>
      </c>
      <c r="H262" s="28">
        <f>29.5+28.2</f>
        <v>57.7</v>
      </c>
      <c r="I262" s="28">
        <f>29.5+28.2</f>
        <v>57.7</v>
      </c>
      <c r="K262" s="114"/>
    </row>
    <row r="263" spans="1:11" ht="25.5" x14ac:dyDescent="0.2">
      <c r="A263" s="31" t="s">
        <v>144</v>
      </c>
      <c r="B263" s="31">
        <v>911</v>
      </c>
      <c r="C263" s="27" t="s">
        <v>19</v>
      </c>
      <c r="D263" s="27" t="s">
        <v>14</v>
      </c>
      <c r="E263" s="27" t="s">
        <v>139</v>
      </c>
      <c r="F263" s="27" t="s">
        <v>65</v>
      </c>
      <c r="G263" s="28">
        <f>88.4+84.4+9.8+9.4</f>
        <v>192.00000000000003</v>
      </c>
      <c r="H263" s="28">
        <f t="shared" ref="H263:I263" si="39">88.4+84.4+9.8+9.4</f>
        <v>192.00000000000003</v>
      </c>
      <c r="I263" s="28">
        <f t="shared" si="39"/>
        <v>192.00000000000003</v>
      </c>
      <c r="K263" s="114"/>
    </row>
    <row r="264" spans="1:11" ht="25.5" x14ac:dyDescent="0.2">
      <c r="A264" s="18" t="s">
        <v>243</v>
      </c>
      <c r="B264" s="18">
        <v>911</v>
      </c>
      <c r="C264" s="19" t="s">
        <v>19</v>
      </c>
      <c r="D264" s="19" t="s">
        <v>14</v>
      </c>
      <c r="E264" s="19" t="s">
        <v>140</v>
      </c>
      <c r="F264" s="19"/>
      <c r="G264" s="20">
        <f>G266+G265</f>
        <v>1186</v>
      </c>
      <c r="H264" s="20">
        <f>H266+H265</f>
        <v>1186</v>
      </c>
      <c r="I264" s="20">
        <f>I266+I265</f>
        <v>1186</v>
      </c>
      <c r="K264" s="114"/>
    </row>
    <row r="265" spans="1:11" s="9" customFormat="1" x14ac:dyDescent="0.2">
      <c r="A265" s="31" t="s">
        <v>69</v>
      </c>
      <c r="B265" s="31">
        <v>911</v>
      </c>
      <c r="C265" s="27" t="s">
        <v>19</v>
      </c>
      <c r="D265" s="27" t="s">
        <v>14</v>
      </c>
      <c r="E265" s="19" t="s">
        <v>140</v>
      </c>
      <c r="F265" s="27" t="s">
        <v>70</v>
      </c>
      <c r="G265" s="28">
        <v>50</v>
      </c>
      <c r="H265" s="28">
        <v>50</v>
      </c>
      <c r="I265" s="28">
        <v>50</v>
      </c>
      <c r="K265" s="114"/>
    </row>
    <row r="266" spans="1:11" ht="25.5" x14ac:dyDescent="0.2">
      <c r="A266" s="31" t="s">
        <v>144</v>
      </c>
      <c r="B266" s="31">
        <v>911</v>
      </c>
      <c r="C266" s="27" t="s">
        <v>19</v>
      </c>
      <c r="D266" s="27" t="s">
        <v>14</v>
      </c>
      <c r="E266" s="19" t="s">
        <v>140</v>
      </c>
      <c r="F266" s="27" t="s">
        <v>65</v>
      </c>
      <c r="G266" s="28">
        <f>992.5+143.5</f>
        <v>1136</v>
      </c>
      <c r="H266" s="28">
        <f>992.5+143.5</f>
        <v>1136</v>
      </c>
      <c r="I266" s="28">
        <f>992.5+143.5</f>
        <v>1136</v>
      </c>
      <c r="K266" s="114"/>
    </row>
    <row r="267" spans="1:11" ht="25.5" x14ac:dyDescent="0.2">
      <c r="A267" s="18" t="s">
        <v>359</v>
      </c>
      <c r="B267" s="18">
        <v>911</v>
      </c>
      <c r="C267" s="19" t="s">
        <v>19</v>
      </c>
      <c r="D267" s="19" t="s">
        <v>14</v>
      </c>
      <c r="E267" s="19" t="s">
        <v>340</v>
      </c>
      <c r="F267" s="19"/>
      <c r="G267" s="20">
        <f>G269+G268</f>
        <v>250</v>
      </c>
      <c r="H267" s="20">
        <f>H269+H268</f>
        <v>250</v>
      </c>
      <c r="I267" s="20">
        <f>I269+I268</f>
        <v>250</v>
      </c>
      <c r="K267" s="116"/>
    </row>
    <row r="268" spans="1:11" x14ac:dyDescent="0.2">
      <c r="A268" s="31" t="s">
        <v>69</v>
      </c>
      <c r="B268" s="31">
        <v>911</v>
      </c>
      <c r="C268" s="27" t="s">
        <v>19</v>
      </c>
      <c r="D268" s="27" t="s">
        <v>14</v>
      </c>
      <c r="E268" s="19" t="s">
        <v>340</v>
      </c>
      <c r="F268" s="27" t="s">
        <v>70</v>
      </c>
      <c r="G268" s="28">
        <f>2-2+2</f>
        <v>2</v>
      </c>
      <c r="H268" s="28">
        <v>2</v>
      </c>
      <c r="I268" s="28">
        <v>2</v>
      </c>
      <c r="K268" s="116"/>
    </row>
    <row r="269" spans="1:11" ht="25.5" x14ac:dyDescent="0.2">
      <c r="A269" s="31" t="s">
        <v>144</v>
      </c>
      <c r="B269" s="31">
        <v>911</v>
      </c>
      <c r="C269" s="27" t="s">
        <v>19</v>
      </c>
      <c r="D269" s="27" t="s">
        <v>14</v>
      </c>
      <c r="E269" s="19" t="s">
        <v>340</v>
      </c>
      <c r="F269" s="27" t="s">
        <v>65</v>
      </c>
      <c r="G269" s="28">
        <f>248-248+248</f>
        <v>248</v>
      </c>
      <c r="H269" s="28">
        <v>248</v>
      </c>
      <c r="I269" s="28">
        <v>248</v>
      </c>
      <c r="K269" s="116"/>
    </row>
    <row r="270" spans="1:11" s="9" customFormat="1" x14ac:dyDescent="0.2">
      <c r="A270" s="11" t="s">
        <v>341</v>
      </c>
      <c r="B270" s="14">
        <v>911</v>
      </c>
      <c r="C270" s="8" t="s">
        <v>19</v>
      </c>
      <c r="D270" s="8" t="s">
        <v>16</v>
      </c>
      <c r="E270" s="8"/>
      <c r="F270" s="8"/>
      <c r="G270" s="4">
        <f>G273+G271</f>
        <v>135258.50000000003</v>
      </c>
      <c r="H270" s="4">
        <f>H273+H271</f>
        <v>122514.70000000001</v>
      </c>
      <c r="I270" s="4">
        <f>I273+I271</f>
        <v>122588.00000000001</v>
      </c>
      <c r="K270" s="116"/>
    </row>
    <row r="271" spans="1:11" ht="25.5" x14ac:dyDescent="0.2">
      <c r="A271" s="18" t="s">
        <v>238</v>
      </c>
      <c r="B271" s="18">
        <v>911</v>
      </c>
      <c r="C271" s="19" t="s">
        <v>19</v>
      </c>
      <c r="D271" s="19" t="s">
        <v>16</v>
      </c>
      <c r="E271" s="19" t="s">
        <v>139</v>
      </c>
      <c r="F271" s="19"/>
      <c r="G271" s="20">
        <f>G272</f>
        <v>115.3</v>
      </c>
      <c r="H271" s="20">
        <f t="shared" ref="H271:I271" si="40">H272</f>
        <v>115.3</v>
      </c>
      <c r="I271" s="20">
        <f t="shared" si="40"/>
        <v>115.3</v>
      </c>
      <c r="K271" s="114"/>
    </row>
    <row r="272" spans="1:11" ht="25.5" x14ac:dyDescent="0.2">
      <c r="A272" s="31" t="s">
        <v>144</v>
      </c>
      <c r="B272" s="31">
        <v>911</v>
      </c>
      <c r="C272" s="27" t="s">
        <v>19</v>
      </c>
      <c r="D272" s="27" t="s">
        <v>16</v>
      </c>
      <c r="E272" s="27" t="s">
        <v>139</v>
      </c>
      <c r="F272" s="27" t="s">
        <v>65</v>
      </c>
      <c r="G272" s="28">
        <f>59+56.3</f>
        <v>115.3</v>
      </c>
      <c r="H272" s="28">
        <f t="shared" ref="H272:I272" si="41">59+56.3</f>
        <v>115.3</v>
      </c>
      <c r="I272" s="28">
        <f t="shared" si="41"/>
        <v>115.3</v>
      </c>
      <c r="K272" s="114"/>
    </row>
    <row r="273" spans="1:13" ht="63.75" x14ac:dyDescent="0.2">
      <c r="A273" s="18" t="s">
        <v>355</v>
      </c>
      <c r="B273" s="22">
        <v>911</v>
      </c>
      <c r="C273" s="19" t="s">
        <v>19</v>
      </c>
      <c r="D273" s="19" t="s">
        <v>16</v>
      </c>
      <c r="E273" s="19" t="s">
        <v>240</v>
      </c>
      <c r="F273" s="19"/>
      <c r="G273" s="20">
        <f>G274</f>
        <v>135143.20000000004</v>
      </c>
      <c r="H273" s="20">
        <f>H274</f>
        <v>122399.40000000001</v>
      </c>
      <c r="I273" s="20">
        <f>I274</f>
        <v>122472.70000000001</v>
      </c>
      <c r="K273" s="116"/>
    </row>
    <row r="274" spans="1:13" s="29" customFormat="1" ht="25.5" x14ac:dyDescent="0.2">
      <c r="A274" s="31" t="s">
        <v>144</v>
      </c>
      <c r="B274" s="35">
        <v>911</v>
      </c>
      <c r="C274" s="27" t="s">
        <v>19</v>
      </c>
      <c r="D274" s="27" t="s">
        <v>16</v>
      </c>
      <c r="E274" s="27" t="s">
        <v>240</v>
      </c>
      <c r="F274" s="27" t="s">
        <v>65</v>
      </c>
      <c r="G274" s="28">
        <f>118343.6+387.1+3597.5+2.2+120+80.2+50-50+355+53+10+8474-47-44.5+4.5-278.7+481.5+26.2+3578.6</f>
        <v>135143.20000000004</v>
      </c>
      <c r="H274" s="28">
        <f>118343.6+387.1+3668.7</f>
        <v>122399.40000000001</v>
      </c>
      <c r="I274" s="28">
        <f>118343.6+387.1+3742</f>
        <v>122472.70000000001</v>
      </c>
      <c r="J274" s="21"/>
      <c r="K274" s="116"/>
      <c r="L274" s="21"/>
      <c r="M274" s="21"/>
    </row>
    <row r="275" spans="1:13" s="9" customFormat="1" x14ac:dyDescent="0.2">
      <c r="A275" s="11" t="s">
        <v>41</v>
      </c>
      <c r="B275" s="14">
        <v>911</v>
      </c>
      <c r="C275" s="8" t="s">
        <v>19</v>
      </c>
      <c r="D275" s="8" t="s">
        <v>26</v>
      </c>
      <c r="E275" s="8"/>
      <c r="F275" s="8"/>
      <c r="G275" s="4">
        <f>G281+G283+G286+G290+G293+G297+G300+G303+G305+G276+G278</f>
        <v>83664.300000000017</v>
      </c>
      <c r="H275" s="4">
        <f t="shared" ref="H275:I275" si="42">H281+H283+H286+H290+H293+H297+H300+H303+H305+H276+H278</f>
        <v>69793.200000000012</v>
      </c>
      <c r="I275" s="4">
        <f t="shared" si="42"/>
        <v>69793.200000000012</v>
      </c>
      <c r="K275" s="116"/>
    </row>
    <row r="276" spans="1:13" x14ac:dyDescent="0.2">
      <c r="A276" s="18" t="s">
        <v>179</v>
      </c>
      <c r="B276" s="22">
        <v>911</v>
      </c>
      <c r="C276" s="19" t="s">
        <v>19</v>
      </c>
      <c r="D276" s="19" t="s">
        <v>26</v>
      </c>
      <c r="E276" s="27" t="s">
        <v>178</v>
      </c>
      <c r="F276" s="19"/>
      <c r="G276" s="20">
        <f>G277</f>
        <v>1660.3000000000002</v>
      </c>
      <c r="H276" s="20">
        <f>H277</f>
        <v>0</v>
      </c>
      <c r="I276" s="20">
        <f>I277</f>
        <v>0</v>
      </c>
      <c r="K276" s="116"/>
    </row>
    <row r="277" spans="1:13" s="29" customFormat="1" ht="25.5" x14ac:dyDescent="0.2">
      <c r="A277" s="31" t="s">
        <v>83</v>
      </c>
      <c r="B277" s="22">
        <v>911</v>
      </c>
      <c r="C277" s="19" t="s">
        <v>19</v>
      </c>
      <c r="D277" s="19" t="s">
        <v>26</v>
      </c>
      <c r="E277" s="27" t="s">
        <v>178</v>
      </c>
      <c r="F277" s="27" t="s">
        <v>71</v>
      </c>
      <c r="G277" s="28">
        <f>2457.8-2457.8+2457.8-797.5</f>
        <v>1660.3000000000002</v>
      </c>
      <c r="H277" s="28"/>
      <c r="I277" s="28"/>
      <c r="K277" s="116"/>
    </row>
    <row r="278" spans="1:13" ht="25.5" x14ac:dyDescent="0.2">
      <c r="A278" s="18" t="s">
        <v>193</v>
      </c>
      <c r="B278" s="18">
        <v>911</v>
      </c>
      <c r="C278" s="19" t="s">
        <v>19</v>
      </c>
      <c r="D278" s="19" t="s">
        <v>26</v>
      </c>
      <c r="E278" s="19" t="s">
        <v>138</v>
      </c>
      <c r="F278" s="19"/>
      <c r="G278" s="20">
        <f>G280+G279</f>
        <v>3891.6</v>
      </c>
      <c r="H278" s="20">
        <f t="shared" ref="H278:I278" si="43">H280+H279</f>
        <v>3814.6</v>
      </c>
      <c r="I278" s="20">
        <f t="shared" si="43"/>
        <v>3814.6</v>
      </c>
      <c r="K278" s="116"/>
    </row>
    <row r="279" spans="1:13" ht="25.5" x14ac:dyDescent="0.2">
      <c r="A279" s="31" t="s">
        <v>76</v>
      </c>
      <c r="B279" s="31">
        <v>911</v>
      </c>
      <c r="C279" s="27" t="s">
        <v>19</v>
      </c>
      <c r="D279" s="27" t="s">
        <v>26</v>
      </c>
      <c r="E279" s="27" t="s">
        <v>138</v>
      </c>
      <c r="F279" s="27" t="s">
        <v>68</v>
      </c>
      <c r="G279" s="28">
        <f>87+3</f>
        <v>90</v>
      </c>
      <c r="H279" s="28">
        <v>87</v>
      </c>
      <c r="I279" s="28">
        <v>87</v>
      </c>
      <c r="K279" s="116"/>
    </row>
    <row r="280" spans="1:13" ht="25.5" x14ac:dyDescent="0.2">
      <c r="A280" s="31" t="s">
        <v>144</v>
      </c>
      <c r="B280" s="31">
        <v>911</v>
      </c>
      <c r="C280" s="27" t="s">
        <v>19</v>
      </c>
      <c r="D280" s="27" t="s">
        <v>26</v>
      </c>
      <c r="E280" s="27" t="s">
        <v>138</v>
      </c>
      <c r="F280" s="27" t="s">
        <v>65</v>
      </c>
      <c r="G280" s="28">
        <f>3412.6+315+149-72-3</f>
        <v>3801.6</v>
      </c>
      <c r="H280" s="28">
        <f>3412.6+315</f>
        <v>3727.6</v>
      </c>
      <c r="I280" s="28">
        <f>3412.6+315</f>
        <v>3727.6</v>
      </c>
      <c r="K280" s="116"/>
    </row>
    <row r="281" spans="1:13" ht="63.75" x14ac:dyDescent="0.2">
      <c r="A281" s="18" t="s">
        <v>242</v>
      </c>
      <c r="B281" s="22">
        <v>911</v>
      </c>
      <c r="C281" s="19" t="s">
        <v>19</v>
      </c>
      <c r="D281" s="19" t="s">
        <v>26</v>
      </c>
      <c r="E281" s="19" t="s">
        <v>246</v>
      </c>
      <c r="F281" s="19"/>
      <c r="G281" s="20">
        <f>G282</f>
        <v>2950.8999999999996</v>
      </c>
      <c r="H281" s="20">
        <f>H282</f>
        <v>4150.8999999999996</v>
      </c>
      <c r="I281" s="20">
        <f>I282</f>
        <v>4150.8999999999996</v>
      </c>
      <c r="K281" s="114"/>
    </row>
    <row r="282" spans="1:13" s="29" customFormat="1" ht="25.5" x14ac:dyDescent="0.2">
      <c r="A282" s="31" t="s">
        <v>144</v>
      </c>
      <c r="B282" s="35">
        <v>911</v>
      </c>
      <c r="C282" s="27" t="s">
        <v>19</v>
      </c>
      <c r="D282" s="27" t="s">
        <v>26</v>
      </c>
      <c r="E282" s="27" t="s">
        <v>246</v>
      </c>
      <c r="F282" s="27" t="s">
        <v>65</v>
      </c>
      <c r="G282" s="28">
        <f>4150.9-1200</f>
        <v>2950.8999999999996</v>
      </c>
      <c r="H282" s="28">
        <v>4150.8999999999996</v>
      </c>
      <c r="I282" s="28">
        <v>4150.8999999999996</v>
      </c>
      <c r="K282" s="114"/>
    </row>
    <row r="283" spans="1:13" ht="25.5" x14ac:dyDescent="0.2">
      <c r="A283" s="18" t="s">
        <v>356</v>
      </c>
      <c r="B283" s="22">
        <v>911</v>
      </c>
      <c r="C283" s="19" t="s">
        <v>19</v>
      </c>
      <c r="D283" s="19" t="s">
        <v>26</v>
      </c>
      <c r="E283" s="19" t="s">
        <v>247</v>
      </c>
      <c r="F283" s="19"/>
      <c r="G283" s="20">
        <f>G284+G285</f>
        <v>60</v>
      </c>
      <c r="H283" s="20">
        <f>H284+H285</f>
        <v>171.1</v>
      </c>
      <c r="I283" s="20">
        <f>I284+I285</f>
        <v>171.1</v>
      </c>
      <c r="K283" s="116"/>
    </row>
    <row r="284" spans="1:13" s="29" customFormat="1" ht="25.5" x14ac:dyDescent="0.2">
      <c r="A284" s="31" t="s">
        <v>76</v>
      </c>
      <c r="B284" s="35">
        <v>911</v>
      </c>
      <c r="C284" s="27" t="s">
        <v>19</v>
      </c>
      <c r="D284" s="27" t="s">
        <v>26</v>
      </c>
      <c r="E284" s="27" t="s">
        <v>247</v>
      </c>
      <c r="F284" s="27" t="s">
        <v>68</v>
      </c>
      <c r="G284" s="28">
        <f>41-41</f>
        <v>0</v>
      </c>
      <c r="H284" s="28">
        <v>41</v>
      </c>
      <c r="I284" s="28">
        <v>41</v>
      </c>
      <c r="K284" s="116"/>
    </row>
    <row r="285" spans="1:13" s="29" customFormat="1" ht="25.5" x14ac:dyDescent="0.2">
      <c r="A285" s="31" t="s">
        <v>144</v>
      </c>
      <c r="B285" s="35">
        <v>911</v>
      </c>
      <c r="C285" s="27" t="s">
        <v>19</v>
      </c>
      <c r="D285" s="27" t="s">
        <v>26</v>
      </c>
      <c r="E285" s="27" t="s">
        <v>247</v>
      </c>
      <c r="F285" s="27" t="s">
        <v>65</v>
      </c>
      <c r="G285" s="28">
        <f>130.1-70.1</f>
        <v>60</v>
      </c>
      <c r="H285" s="28">
        <v>130.1</v>
      </c>
      <c r="I285" s="28">
        <v>130.1</v>
      </c>
      <c r="K285" s="116"/>
    </row>
    <row r="286" spans="1:13" ht="25.5" x14ac:dyDescent="0.2">
      <c r="A286" s="18" t="s">
        <v>356</v>
      </c>
      <c r="B286" s="22">
        <v>911</v>
      </c>
      <c r="C286" s="19" t="s">
        <v>19</v>
      </c>
      <c r="D286" s="19" t="s">
        <v>26</v>
      </c>
      <c r="E286" s="19" t="s">
        <v>195</v>
      </c>
      <c r="F286" s="19"/>
      <c r="G286" s="20">
        <f>G289+G288+G287</f>
        <v>261.59999999999997</v>
      </c>
      <c r="H286" s="20">
        <f>H289+H288+H287</f>
        <v>319.7</v>
      </c>
      <c r="I286" s="20">
        <f>I289+I288+I287</f>
        <v>319.7</v>
      </c>
      <c r="K286" s="116"/>
    </row>
    <row r="287" spans="1:13" s="29" customFormat="1" ht="25.5" x14ac:dyDescent="0.2">
      <c r="A287" s="31" t="s">
        <v>76</v>
      </c>
      <c r="B287" s="35">
        <v>911</v>
      </c>
      <c r="C287" s="27" t="s">
        <v>19</v>
      </c>
      <c r="D287" s="27" t="s">
        <v>26</v>
      </c>
      <c r="E287" s="27" t="s">
        <v>195</v>
      </c>
      <c r="F287" s="27" t="s">
        <v>68</v>
      </c>
      <c r="G287" s="28">
        <v>4</v>
      </c>
      <c r="H287" s="28">
        <v>4</v>
      </c>
      <c r="I287" s="28">
        <v>4</v>
      </c>
      <c r="K287" s="114"/>
    </row>
    <row r="288" spans="1:13" s="29" customFormat="1" x14ac:dyDescent="0.2">
      <c r="A288" s="31" t="s">
        <v>69</v>
      </c>
      <c r="B288" s="35">
        <v>911</v>
      </c>
      <c r="C288" s="27" t="s">
        <v>19</v>
      </c>
      <c r="D288" s="27" t="s">
        <v>26</v>
      </c>
      <c r="E288" s="27" t="s">
        <v>195</v>
      </c>
      <c r="F288" s="27" t="s">
        <v>70</v>
      </c>
      <c r="G288" s="28">
        <f>1177.8-1177.8</f>
        <v>0</v>
      </c>
      <c r="H288" s="28">
        <v>0</v>
      </c>
      <c r="I288" s="28">
        <v>0</v>
      </c>
      <c r="K288" s="114"/>
    </row>
    <row r="289" spans="1:13" s="29" customFormat="1" ht="25.5" x14ac:dyDescent="0.2">
      <c r="A289" s="31" t="s">
        <v>144</v>
      </c>
      <c r="B289" s="35">
        <v>911</v>
      </c>
      <c r="C289" s="27" t="s">
        <v>19</v>
      </c>
      <c r="D289" s="27" t="s">
        <v>26</v>
      </c>
      <c r="E289" s="27" t="s">
        <v>195</v>
      </c>
      <c r="F289" s="27" t="s">
        <v>65</v>
      </c>
      <c r="G289" s="28">
        <f>315.7-58.1</f>
        <v>257.59999999999997</v>
      </c>
      <c r="H289" s="28">
        <v>315.7</v>
      </c>
      <c r="I289" s="28">
        <v>315.7</v>
      </c>
      <c r="K289" s="116"/>
    </row>
    <row r="290" spans="1:13" ht="51" x14ac:dyDescent="0.2">
      <c r="A290" s="18" t="s">
        <v>358</v>
      </c>
      <c r="B290" s="22">
        <v>911</v>
      </c>
      <c r="C290" s="19" t="s">
        <v>19</v>
      </c>
      <c r="D290" s="19" t="s">
        <v>26</v>
      </c>
      <c r="E290" s="19" t="s">
        <v>248</v>
      </c>
      <c r="F290" s="19"/>
      <c r="G290" s="20">
        <f>G291+G292</f>
        <v>714</v>
      </c>
      <c r="H290" s="20">
        <f>H291+H292</f>
        <v>491.4</v>
      </c>
      <c r="I290" s="20">
        <f>I291+I292</f>
        <v>491.4</v>
      </c>
      <c r="K290" s="116"/>
    </row>
    <row r="291" spans="1:13" s="29" customFormat="1" ht="49.5" customHeight="1" x14ac:dyDescent="0.2">
      <c r="A291" s="34" t="s">
        <v>66</v>
      </c>
      <c r="B291" s="36">
        <v>911</v>
      </c>
      <c r="C291" s="27" t="s">
        <v>19</v>
      </c>
      <c r="D291" s="27" t="s">
        <v>26</v>
      </c>
      <c r="E291" s="27" t="s">
        <v>248</v>
      </c>
      <c r="F291" s="30" t="s">
        <v>67</v>
      </c>
      <c r="G291" s="28">
        <f>36.9+17.5</f>
        <v>54.4</v>
      </c>
      <c r="H291" s="28">
        <v>36.9</v>
      </c>
      <c r="I291" s="28">
        <v>36.9</v>
      </c>
      <c r="K291" s="116"/>
    </row>
    <row r="292" spans="1:13" s="29" customFormat="1" ht="25.5" x14ac:dyDescent="0.2">
      <c r="A292" s="31" t="s">
        <v>144</v>
      </c>
      <c r="B292" s="35">
        <v>911</v>
      </c>
      <c r="C292" s="27" t="s">
        <v>19</v>
      </c>
      <c r="D292" s="27" t="s">
        <v>26</v>
      </c>
      <c r="E292" s="27" t="s">
        <v>248</v>
      </c>
      <c r="F292" s="27" t="s">
        <v>65</v>
      </c>
      <c r="G292" s="28">
        <f>454.5+205.1</f>
        <v>659.6</v>
      </c>
      <c r="H292" s="28">
        <v>454.5</v>
      </c>
      <c r="I292" s="28">
        <v>454.5</v>
      </c>
      <c r="K292" s="116"/>
    </row>
    <row r="293" spans="1:13" ht="25.5" x14ac:dyDescent="0.2">
      <c r="A293" s="18" t="s">
        <v>250</v>
      </c>
      <c r="B293" s="22">
        <v>911</v>
      </c>
      <c r="C293" s="19" t="s">
        <v>19</v>
      </c>
      <c r="D293" s="19" t="s">
        <v>26</v>
      </c>
      <c r="E293" s="19" t="s">
        <v>249</v>
      </c>
      <c r="F293" s="19"/>
      <c r="G293" s="20">
        <f>G296+G295+G294</f>
        <v>378.8</v>
      </c>
      <c r="H293" s="20">
        <f t="shared" ref="H293:I293" si="44">H296+H295+H294</f>
        <v>430.5</v>
      </c>
      <c r="I293" s="20">
        <f t="shared" si="44"/>
        <v>430.5</v>
      </c>
      <c r="K293" s="116"/>
    </row>
    <row r="294" spans="1:13" s="29" customFormat="1" ht="63.75" x14ac:dyDescent="0.2">
      <c r="A294" s="26" t="s">
        <v>66</v>
      </c>
      <c r="B294" s="35">
        <v>911</v>
      </c>
      <c r="C294" s="27" t="s">
        <v>19</v>
      </c>
      <c r="D294" s="27" t="s">
        <v>26</v>
      </c>
      <c r="E294" s="27" t="s">
        <v>249</v>
      </c>
      <c r="F294" s="27" t="s">
        <v>67</v>
      </c>
      <c r="G294" s="28">
        <f>7.6+2.4</f>
        <v>10</v>
      </c>
      <c r="H294" s="28">
        <v>0</v>
      </c>
      <c r="I294" s="28">
        <v>0</v>
      </c>
      <c r="K294" s="114"/>
    </row>
    <row r="295" spans="1:13" s="29" customFormat="1" ht="25.5" x14ac:dyDescent="0.2">
      <c r="A295" s="31" t="s">
        <v>76</v>
      </c>
      <c r="B295" s="35">
        <v>911</v>
      </c>
      <c r="C295" s="27" t="s">
        <v>19</v>
      </c>
      <c r="D295" s="27" t="s">
        <v>26</v>
      </c>
      <c r="E295" s="27" t="s">
        <v>249</v>
      </c>
      <c r="F295" s="27" t="s">
        <v>68</v>
      </c>
      <c r="G295" s="28">
        <f>48.9+21.3-2.2</f>
        <v>68</v>
      </c>
      <c r="H295" s="28">
        <v>0</v>
      </c>
      <c r="I295" s="28">
        <v>0</v>
      </c>
      <c r="K295" s="116"/>
    </row>
    <row r="296" spans="1:13" s="29" customFormat="1" ht="25.5" x14ac:dyDescent="0.2">
      <c r="A296" s="31" t="s">
        <v>144</v>
      </c>
      <c r="B296" s="35">
        <v>911</v>
      </c>
      <c r="C296" s="27" t="s">
        <v>19</v>
      </c>
      <c r="D296" s="27" t="s">
        <v>26</v>
      </c>
      <c r="E296" s="27" t="s">
        <v>249</v>
      </c>
      <c r="F296" s="27" t="s">
        <v>65</v>
      </c>
      <c r="G296" s="28">
        <f>430.5-48.9-7.6-13.2-2.4+0.2+2.2-60</f>
        <v>300.8</v>
      </c>
      <c r="H296" s="28">
        <v>430.5</v>
      </c>
      <c r="I296" s="28">
        <v>430.5</v>
      </c>
      <c r="K296" s="116"/>
    </row>
    <row r="297" spans="1:13" ht="25.5" x14ac:dyDescent="0.2">
      <c r="A297" s="18" t="s">
        <v>251</v>
      </c>
      <c r="B297" s="22">
        <v>911</v>
      </c>
      <c r="C297" s="5" t="s">
        <v>19</v>
      </c>
      <c r="D297" s="5" t="s">
        <v>26</v>
      </c>
      <c r="E297" s="5" t="s">
        <v>123</v>
      </c>
      <c r="F297" s="19"/>
      <c r="G297" s="20">
        <f>G298+G299</f>
        <v>2604.6</v>
      </c>
      <c r="H297" s="20">
        <f>H298+H299</f>
        <v>2354.3000000000002</v>
      </c>
      <c r="I297" s="20">
        <f>I298+I299</f>
        <v>2354.3000000000002</v>
      </c>
      <c r="K297" s="116"/>
    </row>
    <row r="298" spans="1:13" s="29" customFormat="1" ht="51" customHeight="1" x14ac:dyDescent="0.2">
      <c r="A298" s="26" t="s">
        <v>66</v>
      </c>
      <c r="B298" s="35">
        <v>911</v>
      </c>
      <c r="C298" s="27" t="s">
        <v>19</v>
      </c>
      <c r="D298" s="27" t="s">
        <v>26</v>
      </c>
      <c r="E298" s="27" t="s">
        <v>123</v>
      </c>
      <c r="F298" s="30" t="s">
        <v>67</v>
      </c>
      <c r="G298" s="28">
        <f>1464.5+442.3+2+19+76.3+250.3</f>
        <v>2254.4</v>
      </c>
      <c r="H298" s="28">
        <f>1464.5+442.3+2+19</f>
        <v>1927.8</v>
      </c>
      <c r="I298" s="28">
        <f>1464.5+442.3+2+19</f>
        <v>1927.8</v>
      </c>
      <c r="J298" s="21"/>
      <c r="K298" s="116"/>
      <c r="L298" s="21"/>
      <c r="M298" s="21"/>
    </row>
    <row r="299" spans="1:13" s="29" customFormat="1" ht="25.5" x14ac:dyDescent="0.2">
      <c r="A299" s="31" t="s">
        <v>76</v>
      </c>
      <c r="B299" s="76">
        <v>911</v>
      </c>
      <c r="C299" s="27" t="s">
        <v>19</v>
      </c>
      <c r="D299" s="27" t="s">
        <v>26</v>
      </c>
      <c r="E299" s="27" t="s">
        <v>123</v>
      </c>
      <c r="F299" s="30" t="s">
        <v>68</v>
      </c>
      <c r="G299" s="28">
        <f>10+150+100+166.5-76.3</f>
        <v>350.2</v>
      </c>
      <c r="H299" s="28">
        <f>10+150+100+166.5</f>
        <v>426.5</v>
      </c>
      <c r="I299" s="28">
        <f>10+150+100+166.5</f>
        <v>426.5</v>
      </c>
      <c r="J299" s="21"/>
      <c r="K299" s="114"/>
      <c r="L299" s="21"/>
      <c r="M299" s="21"/>
    </row>
    <row r="300" spans="1:13" ht="25.5" x14ac:dyDescent="0.2">
      <c r="A300" s="18" t="s">
        <v>360</v>
      </c>
      <c r="B300" s="22">
        <v>911</v>
      </c>
      <c r="C300" s="19" t="s">
        <v>19</v>
      </c>
      <c r="D300" s="19" t="s">
        <v>26</v>
      </c>
      <c r="E300" s="19" t="s">
        <v>252</v>
      </c>
      <c r="F300" s="19"/>
      <c r="G300" s="20">
        <f>G301+G302</f>
        <v>3982.9</v>
      </c>
      <c r="H300" s="20">
        <f>H301+H302</f>
        <v>3563.4</v>
      </c>
      <c r="I300" s="20">
        <f>I301+I302</f>
        <v>3563.4</v>
      </c>
      <c r="K300" s="116"/>
    </row>
    <row r="301" spans="1:13" s="29" customFormat="1" ht="51" customHeight="1" x14ac:dyDescent="0.2">
      <c r="A301" s="26" t="s">
        <v>66</v>
      </c>
      <c r="B301" s="35">
        <v>911</v>
      </c>
      <c r="C301" s="27" t="s">
        <v>19</v>
      </c>
      <c r="D301" s="27" t="s">
        <v>26</v>
      </c>
      <c r="E301" s="27" t="s">
        <v>252</v>
      </c>
      <c r="F301" s="30" t="s">
        <v>67</v>
      </c>
      <c r="G301" s="28">
        <f>3479.7+33.3+25+437.9</f>
        <v>3975.9</v>
      </c>
      <c r="H301" s="28">
        <f>3479.7+33.3</f>
        <v>3513</v>
      </c>
      <c r="I301" s="28">
        <f>3479.7+33.3</f>
        <v>3513</v>
      </c>
      <c r="J301" s="21"/>
      <c r="K301" s="116"/>
      <c r="L301" s="21"/>
      <c r="M301" s="21"/>
    </row>
    <row r="302" spans="1:13" s="29" customFormat="1" ht="25.5" x14ac:dyDescent="0.2">
      <c r="A302" s="31" t="s">
        <v>76</v>
      </c>
      <c r="B302" s="35">
        <v>911</v>
      </c>
      <c r="C302" s="27" t="s">
        <v>19</v>
      </c>
      <c r="D302" s="27" t="s">
        <v>26</v>
      </c>
      <c r="E302" s="27" t="s">
        <v>252</v>
      </c>
      <c r="F302" s="30" t="s">
        <v>68</v>
      </c>
      <c r="G302" s="28">
        <f>50.4-25-18.4</f>
        <v>7</v>
      </c>
      <c r="H302" s="28">
        <v>50.4</v>
      </c>
      <c r="I302" s="28">
        <v>50.4</v>
      </c>
      <c r="J302" s="21"/>
      <c r="K302" s="116"/>
      <c r="L302" s="21"/>
      <c r="M302" s="21"/>
    </row>
    <row r="303" spans="1:13" ht="25.5" x14ac:dyDescent="0.2">
      <c r="A303" s="18" t="s">
        <v>360</v>
      </c>
      <c r="B303" s="22">
        <v>911</v>
      </c>
      <c r="C303" s="19" t="s">
        <v>19</v>
      </c>
      <c r="D303" s="19" t="s">
        <v>26</v>
      </c>
      <c r="E303" s="19" t="s">
        <v>253</v>
      </c>
      <c r="F303" s="19"/>
      <c r="G303" s="20">
        <f>G304</f>
        <v>22429.100000000002</v>
      </c>
      <c r="H303" s="20">
        <f>H304</f>
        <v>16913.600000000002</v>
      </c>
      <c r="I303" s="20">
        <f>I304</f>
        <v>16913.600000000002</v>
      </c>
      <c r="K303" s="116"/>
    </row>
    <row r="304" spans="1:13" s="29" customFormat="1" ht="25.5" x14ac:dyDescent="0.2">
      <c r="A304" s="31" t="s">
        <v>144</v>
      </c>
      <c r="B304" s="35">
        <v>911</v>
      </c>
      <c r="C304" s="27" t="s">
        <v>19</v>
      </c>
      <c r="D304" s="27" t="s">
        <v>26</v>
      </c>
      <c r="E304" s="27" t="s">
        <v>253</v>
      </c>
      <c r="F304" s="27" t="s">
        <v>65</v>
      </c>
      <c r="G304" s="28">
        <f>16766.2+147.4-6.4+60-30+68.2+4727.2+50+62.8+122.7+461</f>
        <v>22429.100000000002</v>
      </c>
      <c r="H304" s="28">
        <f t="shared" ref="H304:I304" si="45">16766.2+147.4</f>
        <v>16913.600000000002</v>
      </c>
      <c r="I304" s="28">
        <f t="shared" si="45"/>
        <v>16913.600000000002</v>
      </c>
      <c r="J304" s="21"/>
      <c r="K304" s="116"/>
      <c r="L304" s="21"/>
      <c r="M304" s="21"/>
    </row>
    <row r="305" spans="1:15" ht="25.5" x14ac:dyDescent="0.2">
      <c r="A305" s="18" t="s">
        <v>360</v>
      </c>
      <c r="B305" s="22">
        <v>911</v>
      </c>
      <c r="C305" s="19" t="s">
        <v>19</v>
      </c>
      <c r="D305" s="19" t="s">
        <v>26</v>
      </c>
      <c r="E305" s="19" t="s">
        <v>254</v>
      </c>
      <c r="F305" s="19"/>
      <c r="G305" s="20">
        <f>G306+G307+G308+G309</f>
        <v>44730.500000000007</v>
      </c>
      <c r="H305" s="20">
        <f>H306+H307+H308+H309</f>
        <v>37583.699999999997</v>
      </c>
      <c r="I305" s="20">
        <f>I306+I307+I308+I309</f>
        <v>37583.699999999997</v>
      </c>
      <c r="K305" s="116"/>
    </row>
    <row r="306" spans="1:15" s="29" customFormat="1" ht="51.75" customHeight="1" x14ac:dyDescent="0.2">
      <c r="A306" s="34" t="s">
        <v>66</v>
      </c>
      <c r="B306" s="36">
        <v>911</v>
      </c>
      <c r="C306" s="27" t="s">
        <v>19</v>
      </c>
      <c r="D306" s="27" t="s">
        <v>26</v>
      </c>
      <c r="E306" s="27" t="s">
        <v>254</v>
      </c>
      <c r="F306" s="30" t="s">
        <v>67</v>
      </c>
      <c r="G306" s="28">
        <f>10646+102.3+12+6407+2970.6</f>
        <v>20137.899999999998</v>
      </c>
      <c r="H306" s="28">
        <f>10646+102.3</f>
        <v>10748.3</v>
      </c>
      <c r="I306" s="28">
        <f>10646+102.3</f>
        <v>10748.3</v>
      </c>
      <c r="K306" s="116"/>
    </row>
    <row r="307" spans="1:15" s="29" customFormat="1" ht="25.5" x14ac:dyDescent="0.2">
      <c r="A307" s="31" t="s">
        <v>76</v>
      </c>
      <c r="B307" s="36">
        <v>911</v>
      </c>
      <c r="C307" s="27" t="s">
        <v>19</v>
      </c>
      <c r="D307" s="27" t="s">
        <v>26</v>
      </c>
      <c r="E307" s="27" t="s">
        <v>254</v>
      </c>
      <c r="F307" s="30" t="s">
        <v>68</v>
      </c>
      <c r="G307" s="28">
        <f>287-12-37+618.7-10-9.5+412.2+637</f>
        <v>1886.4</v>
      </c>
      <c r="H307" s="28">
        <v>287</v>
      </c>
      <c r="I307" s="28">
        <v>287</v>
      </c>
      <c r="K307" s="116"/>
    </row>
    <row r="308" spans="1:15" s="29" customFormat="1" ht="25.5" x14ac:dyDescent="0.2">
      <c r="A308" s="31" t="s">
        <v>144</v>
      </c>
      <c r="B308" s="35">
        <v>911</v>
      </c>
      <c r="C308" s="27" t="s">
        <v>19</v>
      </c>
      <c r="D308" s="27" t="s">
        <v>26</v>
      </c>
      <c r="E308" s="27" t="s">
        <v>254</v>
      </c>
      <c r="F308" s="27" t="s">
        <v>65</v>
      </c>
      <c r="G308" s="28">
        <f>26235.2+213.2+1.4+357.5+10-90-7037.8+22+10-17+155+2502.4-20+50.9+233.3</f>
        <v>22626.100000000006</v>
      </c>
      <c r="H308" s="28">
        <f>26235.2+213.2</f>
        <v>26448.400000000001</v>
      </c>
      <c r="I308" s="28">
        <f>26235.2+213.2</f>
        <v>26448.400000000001</v>
      </c>
      <c r="J308" s="21"/>
      <c r="K308" s="116"/>
      <c r="L308" s="21"/>
      <c r="M308" s="21"/>
    </row>
    <row r="309" spans="1:15" s="29" customFormat="1" x14ac:dyDescent="0.2">
      <c r="A309" s="31" t="s">
        <v>72</v>
      </c>
      <c r="B309" s="35">
        <v>911</v>
      </c>
      <c r="C309" s="27" t="s">
        <v>19</v>
      </c>
      <c r="D309" s="27" t="s">
        <v>26</v>
      </c>
      <c r="E309" s="27" t="s">
        <v>254</v>
      </c>
      <c r="F309" s="27" t="s">
        <v>73</v>
      </c>
      <c r="G309" s="28">
        <f>100+12.1+13-45</f>
        <v>80.099999999999994</v>
      </c>
      <c r="H309" s="28">
        <v>100</v>
      </c>
      <c r="I309" s="28">
        <v>100</v>
      </c>
      <c r="J309" s="21"/>
      <c r="K309" s="116"/>
      <c r="L309" s="21"/>
      <c r="M309" s="21"/>
    </row>
    <row r="310" spans="1:15" s="3" customFormat="1" x14ac:dyDescent="0.2">
      <c r="A310" s="13" t="s">
        <v>52</v>
      </c>
      <c r="B310" s="49">
        <v>911</v>
      </c>
      <c r="C310" s="1" t="s">
        <v>51</v>
      </c>
      <c r="D310" s="1"/>
      <c r="E310" s="1"/>
      <c r="F310" s="1"/>
      <c r="G310" s="2">
        <f>G311+G328</f>
        <v>52712.4</v>
      </c>
      <c r="H310" s="2">
        <f>H311+H328</f>
        <v>52800.4</v>
      </c>
      <c r="I310" s="2">
        <f>I311+I328</f>
        <v>52512.4</v>
      </c>
      <c r="K310" s="114"/>
    </row>
    <row r="311" spans="1:15" s="9" customFormat="1" x14ac:dyDescent="0.2">
      <c r="A311" s="11" t="s">
        <v>55</v>
      </c>
      <c r="B311" s="14">
        <v>911</v>
      </c>
      <c r="C311" s="8" t="s">
        <v>51</v>
      </c>
      <c r="D311" s="8" t="s">
        <v>16</v>
      </c>
      <c r="E311" s="8"/>
      <c r="F311" s="8"/>
      <c r="G311" s="4">
        <f>G312+G317+G319+G315+G324+G326+G321</f>
        <v>11916.4</v>
      </c>
      <c r="H311" s="4">
        <f>H312+H317+H319+H315+H324+H326+H321</f>
        <v>11916.4</v>
      </c>
      <c r="I311" s="4">
        <f>I312+I317+I319+I315+I324+I326+I321</f>
        <v>11916.4</v>
      </c>
      <c r="K311" s="114"/>
    </row>
    <row r="312" spans="1:15" ht="25.5" x14ac:dyDescent="0.2">
      <c r="A312" s="88" t="s">
        <v>374</v>
      </c>
      <c r="B312" s="22">
        <v>911</v>
      </c>
      <c r="C312" s="19" t="s">
        <v>51</v>
      </c>
      <c r="D312" s="19" t="s">
        <v>16</v>
      </c>
      <c r="E312" s="19" t="s">
        <v>86</v>
      </c>
      <c r="F312" s="19"/>
      <c r="G312" s="20">
        <f>G314+G313</f>
        <v>1615</v>
      </c>
      <c r="H312" s="20">
        <f>H314+H313</f>
        <v>1615</v>
      </c>
      <c r="I312" s="20">
        <f>I314+I313</f>
        <v>1615</v>
      </c>
      <c r="K312" s="114"/>
    </row>
    <row r="313" spans="1:15" x14ac:dyDescent="0.2">
      <c r="A313" s="87" t="s">
        <v>69</v>
      </c>
      <c r="B313" s="26">
        <v>911</v>
      </c>
      <c r="C313" s="27" t="s">
        <v>51</v>
      </c>
      <c r="D313" s="27" t="s">
        <v>16</v>
      </c>
      <c r="E313" s="27" t="s">
        <v>86</v>
      </c>
      <c r="F313" s="30" t="s">
        <v>70</v>
      </c>
      <c r="G313" s="28">
        <f>35.6</f>
        <v>35.6</v>
      </c>
      <c r="H313" s="28">
        <f>35.6</f>
        <v>35.6</v>
      </c>
      <c r="I313" s="28">
        <f>35.6</f>
        <v>35.6</v>
      </c>
      <c r="K313" s="114"/>
    </row>
    <row r="314" spans="1:15" s="29" customFormat="1" ht="25.5" x14ac:dyDescent="0.2">
      <c r="A314" s="31" t="s">
        <v>144</v>
      </c>
      <c r="B314" s="35">
        <v>911</v>
      </c>
      <c r="C314" s="27" t="s">
        <v>51</v>
      </c>
      <c r="D314" s="27" t="s">
        <v>16</v>
      </c>
      <c r="E314" s="27" t="s">
        <v>86</v>
      </c>
      <c r="F314" s="27" t="s">
        <v>65</v>
      </c>
      <c r="G314" s="28">
        <f>1499.4+80</f>
        <v>1579.4</v>
      </c>
      <c r="H314" s="28">
        <f>1499.4+80</f>
        <v>1579.4</v>
      </c>
      <c r="I314" s="28">
        <f>1499.4+80</f>
        <v>1579.4</v>
      </c>
      <c r="J314" s="21"/>
      <c r="K314" s="114"/>
      <c r="L314" s="21"/>
      <c r="M314" s="21"/>
    </row>
    <row r="315" spans="1:15" ht="51" x14ac:dyDescent="0.2">
      <c r="A315" s="18" t="s">
        <v>255</v>
      </c>
      <c r="B315" s="22">
        <v>911</v>
      </c>
      <c r="C315" s="19" t="s">
        <v>51</v>
      </c>
      <c r="D315" s="19" t="s">
        <v>16</v>
      </c>
      <c r="E315" s="19" t="s">
        <v>127</v>
      </c>
      <c r="F315" s="19"/>
      <c r="G315" s="20">
        <f>G316</f>
        <v>207</v>
      </c>
      <c r="H315" s="20">
        <f>H316</f>
        <v>207</v>
      </c>
      <c r="I315" s="20">
        <f>I316</f>
        <v>207</v>
      </c>
      <c r="K315" s="114"/>
    </row>
    <row r="316" spans="1:15" s="29" customFormat="1" x14ac:dyDescent="0.2">
      <c r="A316" s="87" t="s">
        <v>69</v>
      </c>
      <c r="B316" s="35">
        <v>911</v>
      </c>
      <c r="C316" s="27" t="s">
        <v>51</v>
      </c>
      <c r="D316" s="27" t="s">
        <v>16</v>
      </c>
      <c r="E316" s="27" t="s">
        <v>127</v>
      </c>
      <c r="F316" s="33">
        <v>300</v>
      </c>
      <c r="G316" s="28">
        <v>207</v>
      </c>
      <c r="H316" s="28">
        <v>207</v>
      </c>
      <c r="I316" s="28">
        <v>207</v>
      </c>
      <c r="J316" s="21"/>
      <c r="K316" s="114"/>
      <c r="L316" s="21"/>
      <c r="M316" s="21"/>
    </row>
    <row r="317" spans="1:15" ht="63.75" x14ac:dyDescent="0.2">
      <c r="A317" s="18" t="s">
        <v>256</v>
      </c>
      <c r="B317" s="22">
        <v>911</v>
      </c>
      <c r="C317" s="19" t="s">
        <v>51</v>
      </c>
      <c r="D317" s="19" t="s">
        <v>16</v>
      </c>
      <c r="E317" s="27" t="s">
        <v>126</v>
      </c>
      <c r="F317" s="19"/>
      <c r="G317" s="20">
        <f>G318</f>
        <v>387</v>
      </c>
      <c r="H317" s="20">
        <f>H318</f>
        <v>387</v>
      </c>
      <c r="I317" s="20">
        <f>I318</f>
        <v>387</v>
      </c>
      <c r="K317" s="114"/>
    </row>
    <row r="318" spans="1:15" s="29" customFormat="1" x14ac:dyDescent="0.2">
      <c r="A318" s="87" t="s">
        <v>69</v>
      </c>
      <c r="B318" s="35">
        <v>911</v>
      </c>
      <c r="C318" s="27" t="s">
        <v>51</v>
      </c>
      <c r="D318" s="27" t="s">
        <v>16</v>
      </c>
      <c r="E318" s="27" t="s">
        <v>126</v>
      </c>
      <c r="F318" s="33">
        <v>300</v>
      </c>
      <c r="G318" s="28">
        <v>387</v>
      </c>
      <c r="H318" s="28">
        <v>387</v>
      </c>
      <c r="I318" s="28">
        <v>387</v>
      </c>
      <c r="J318" s="21"/>
      <c r="K318" s="114"/>
      <c r="L318" s="21"/>
      <c r="M318" s="21"/>
    </row>
    <row r="319" spans="1:15" ht="38.25" x14ac:dyDescent="0.2">
      <c r="A319" s="54" t="s">
        <v>257</v>
      </c>
      <c r="B319" s="22">
        <v>911</v>
      </c>
      <c r="C319" s="19" t="s">
        <v>51</v>
      </c>
      <c r="D319" s="19" t="s">
        <v>16</v>
      </c>
      <c r="E319" s="19" t="s">
        <v>125</v>
      </c>
      <c r="F319" s="19"/>
      <c r="G319" s="20">
        <f>G320</f>
        <v>570</v>
      </c>
      <c r="H319" s="20">
        <f>H320</f>
        <v>570</v>
      </c>
      <c r="I319" s="20">
        <f>I320</f>
        <v>570</v>
      </c>
      <c r="K319" s="114"/>
      <c r="N319" s="29"/>
      <c r="O319" s="29"/>
    </row>
    <row r="320" spans="1:15" s="29" customFormat="1" x14ac:dyDescent="0.2">
      <c r="A320" s="87" t="s">
        <v>69</v>
      </c>
      <c r="B320" s="35">
        <v>911</v>
      </c>
      <c r="C320" s="27" t="s">
        <v>51</v>
      </c>
      <c r="D320" s="27" t="s">
        <v>16</v>
      </c>
      <c r="E320" s="27" t="s">
        <v>125</v>
      </c>
      <c r="F320" s="27" t="s">
        <v>70</v>
      </c>
      <c r="G320" s="28">
        <v>570</v>
      </c>
      <c r="H320" s="28">
        <v>570</v>
      </c>
      <c r="I320" s="28">
        <v>570</v>
      </c>
      <c r="J320" s="21"/>
      <c r="K320" s="114"/>
      <c r="L320" s="21"/>
      <c r="M320" s="21"/>
      <c r="N320" s="21"/>
      <c r="O320" s="21"/>
    </row>
    <row r="321" spans="1:15" ht="25.5" x14ac:dyDescent="0.2">
      <c r="A321" s="54" t="s">
        <v>258</v>
      </c>
      <c r="B321" s="68" t="s">
        <v>132</v>
      </c>
      <c r="C321" s="19" t="s">
        <v>51</v>
      </c>
      <c r="D321" s="19" t="s">
        <v>16</v>
      </c>
      <c r="E321" s="19" t="s">
        <v>133</v>
      </c>
      <c r="F321" s="19"/>
      <c r="G321" s="20">
        <f>G323+G322</f>
        <v>550.9</v>
      </c>
      <c r="H321" s="20">
        <f>H323+H322</f>
        <v>550.9</v>
      </c>
      <c r="I321" s="20">
        <f>I323+I322</f>
        <v>550.9</v>
      </c>
      <c r="K321" s="114"/>
      <c r="N321" s="29"/>
      <c r="O321" s="29"/>
    </row>
    <row r="322" spans="1:15" ht="25.5" x14ac:dyDescent="0.2">
      <c r="A322" s="31" t="s">
        <v>76</v>
      </c>
      <c r="B322" s="26">
        <v>911</v>
      </c>
      <c r="C322" s="27" t="s">
        <v>51</v>
      </c>
      <c r="D322" s="27" t="s">
        <v>16</v>
      </c>
      <c r="E322" s="27" t="s">
        <v>133</v>
      </c>
      <c r="F322" s="30" t="s">
        <v>68</v>
      </c>
      <c r="G322" s="28">
        <v>89.4</v>
      </c>
      <c r="H322" s="28">
        <v>89.4</v>
      </c>
      <c r="I322" s="28">
        <v>89.4</v>
      </c>
      <c r="K322" s="114"/>
    </row>
    <row r="323" spans="1:15" ht="25.5" x14ac:dyDescent="0.2">
      <c r="A323" s="31" t="s">
        <v>144</v>
      </c>
      <c r="B323" s="31">
        <v>911</v>
      </c>
      <c r="C323" s="27" t="s">
        <v>51</v>
      </c>
      <c r="D323" s="27" t="s">
        <v>16</v>
      </c>
      <c r="E323" s="27" t="s">
        <v>133</v>
      </c>
      <c r="F323" s="27" t="s">
        <v>65</v>
      </c>
      <c r="G323" s="28">
        <f>432+29.5</f>
        <v>461.5</v>
      </c>
      <c r="H323" s="28">
        <f>432+29.5</f>
        <v>461.5</v>
      </c>
      <c r="I323" s="28">
        <f>432+29.5</f>
        <v>461.5</v>
      </c>
      <c r="J323" s="9"/>
      <c r="K323" s="114"/>
      <c r="L323" s="9"/>
      <c r="M323" s="9"/>
      <c r="N323" s="9"/>
      <c r="O323" s="9"/>
    </row>
    <row r="324" spans="1:15" ht="76.5" x14ac:dyDescent="0.2">
      <c r="A324" s="18" t="s">
        <v>259</v>
      </c>
      <c r="B324" s="22">
        <v>911</v>
      </c>
      <c r="C324" s="19" t="s">
        <v>51</v>
      </c>
      <c r="D324" s="19" t="s">
        <v>16</v>
      </c>
      <c r="E324" s="19" t="s">
        <v>128</v>
      </c>
      <c r="F324" s="19"/>
      <c r="G324" s="20">
        <f>G325</f>
        <v>1000</v>
      </c>
      <c r="H324" s="20">
        <f>H325</f>
        <v>1000</v>
      </c>
      <c r="I324" s="20">
        <f>I325</f>
        <v>1000</v>
      </c>
      <c r="K324" s="114"/>
    </row>
    <row r="325" spans="1:15" s="29" customFormat="1" x14ac:dyDescent="0.2">
      <c r="A325" s="31" t="s">
        <v>69</v>
      </c>
      <c r="B325" s="35">
        <v>911</v>
      </c>
      <c r="C325" s="27" t="s">
        <v>51</v>
      </c>
      <c r="D325" s="27" t="s">
        <v>16</v>
      </c>
      <c r="E325" s="27" t="s">
        <v>128</v>
      </c>
      <c r="F325" s="27" t="s">
        <v>70</v>
      </c>
      <c r="G325" s="28">
        <v>1000</v>
      </c>
      <c r="H325" s="28">
        <v>1000</v>
      </c>
      <c r="I325" s="28">
        <v>1000</v>
      </c>
      <c r="J325" s="21"/>
      <c r="K325" s="114"/>
      <c r="L325" s="21"/>
      <c r="M325" s="21"/>
      <c r="N325" s="21"/>
      <c r="O325" s="21"/>
    </row>
    <row r="326" spans="1:15" ht="51" x14ac:dyDescent="0.2">
      <c r="A326" s="18" t="s">
        <v>260</v>
      </c>
      <c r="B326" s="22">
        <v>911</v>
      </c>
      <c r="C326" s="19" t="s">
        <v>51</v>
      </c>
      <c r="D326" s="19" t="s">
        <v>16</v>
      </c>
      <c r="E326" s="19" t="s">
        <v>109</v>
      </c>
      <c r="F326" s="19"/>
      <c r="G326" s="20">
        <f>G327</f>
        <v>7586.5</v>
      </c>
      <c r="H326" s="20">
        <f>H327</f>
        <v>7586.5</v>
      </c>
      <c r="I326" s="20">
        <f>I327</f>
        <v>7586.5</v>
      </c>
      <c r="K326" s="114"/>
      <c r="N326" s="29"/>
      <c r="O326" s="29"/>
    </row>
    <row r="327" spans="1:15" s="29" customFormat="1" ht="25.5" x14ac:dyDescent="0.2">
      <c r="A327" s="31" t="s">
        <v>144</v>
      </c>
      <c r="B327" s="35">
        <v>911</v>
      </c>
      <c r="C327" s="27" t="s">
        <v>51</v>
      </c>
      <c r="D327" s="27" t="s">
        <v>16</v>
      </c>
      <c r="E327" s="27" t="s">
        <v>109</v>
      </c>
      <c r="F327" s="27" t="s">
        <v>65</v>
      </c>
      <c r="G327" s="28">
        <v>7586.5</v>
      </c>
      <c r="H327" s="28">
        <v>7586.5</v>
      </c>
      <c r="I327" s="28">
        <v>7586.5</v>
      </c>
      <c r="J327" s="21"/>
      <c r="K327" s="114"/>
      <c r="L327" s="21"/>
      <c r="M327" s="21"/>
      <c r="N327" s="21"/>
      <c r="O327" s="21"/>
    </row>
    <row r="328" spans="1:15" s="9" customFormat="1" x14ac:dyDescent="0.2">
      <c r="A328" s="11" t="s">
        <v>56</v>
      </c>
      <c r="B328" s="14">
        <v>911</v>
      </c>
      <c r="C328" s="8" t="s">
        <v>51</v>
      </c>
      <c r="D328" s="8" t="s">
        <v>18</v>
      </c>
      <c r="E328" s="8"/>
      <c r="F328" s="8"/>
      <c r="G328" s="4">
        <f>G329+G331+G335</f>
        <v>40796</v>
      </c>
      <c r="H328" s="4">
        <f t="shared" ref="H328:I328" si="46">H329+H331+H335</f>
        <v>40884</v>
      </c>
      <c r="I328" s="4">
        <f t="shared" si="46"/>
        <v>40596</v>
      </c>
      <c r="J328" s="29"/>
      <c r="K328" s="114"/>
      <c r="L328" s="29"/>
      <c r="M328" s="29"/>
      <c r="N328" s="29"/>
      <c r="O328" s="29"/>
    </row>
    <row r="329" spans="1:15" ht="38.25" x14ac:dyDescent="0.2">
      <c r="A329" s="18" t="s">
        <v>261</v>
      </c>
      <c r="B329" s="22">
        <v>911</v>
      </c>
      <c r="C329" s="19" t="s">
        <v>51</v>
      </c>
      <c r="D329" s="19" t="s">
        <v>18</v>
      </c>
      <c r="E329" s="19" t="s">
        <v>131</v>
      </c>
      <c r="F329" s="19"/>
      <c r="G329" s="20">
        <f>G330</f>
        <v>1200</v>
      </c>
      <c r="H329" s="20">
        <f>H330</f>
        <v>1288</v>
      </c>
      <c r="I329" s="20">
        <f>I330</f>
        <v>1000</v>
      </c>
      <c r="K329" s="114"/>
      <c r="N329" s="29"/>
      <c r="O329" s="29"/>
    </row>
    <row r="330" spans="1:15" s="29" customFormat="1" x14ac:dyDescent="0.2">
      <c r="A330" s="31" t="s">
        <v>69</v>
      </c>
      <c r="B330" s="35">
        <v>911</v>
      </c>
      <c r="C330" s="27" t="s">
        <v>51</v>
      </c>
      <c r="D330" s="27" t="s">
        <v>18</v>
      </c>
      <c r="E330" s="27" t="s">
        <v>131</v>
      </c>
      <c r="F330" s="27" t="s">
        <v>70</v>
      </c>
      <c r="G330" s="28">
        <v>1200</v>
      </c>
      <c r="H330" s="28">
        <v>1288</v>
      </c>
      <c r="I330" s="28">
        <v>1000</v>
      </c>
      <c r="J330" s="21"/>
      <c r="K330" s="114"/>
      <c r="L330" s="21"/>
      <c r="M330" s="21"/>
      <c r="N330" s="21"/>
      <c r="O330" s="21"/>
    </row>
    <row r="331" spans="1:15" ht="38.25" customHeight="1" x14ac:dyDescent="0.2">
      <c r="A331" s="18" t="s">
        <v>262</v>
      </c>
      <c r="B331" s="22">
        <v>911</v>
      </c>
      <c r="C331" s="19" t="s">
        <v>51</v>
      </c>
      <c r="D331" s="19" t="s">
        <v>18</v>
      </c>
      <c r="E331" s="19" t="s">
        <v>129</v>
      </c>
      <c r="F331" s="19"/>
      <c r="G331" s="20">
        <f>G333+G334+G332</f>
        <v>3754</v>
      </c>
      <c r="H331" s="20">
        <f>H333+H334+H332</f>
        <v>3754</v>
      </c>
      <c r="I331" s="20">
        <f>I333+I334+I332</f>
        <v>3754</v>
      </c>
      <c r="J331" s="29"/>
      <c r="K331" s="114"/>
      <c r="L331" s="29"/>
      <c r="M331" s="29"/>
      <c r="N331" s="29"/>
      <c r="O331" s="29"/>
    </row>
    <row r="332" spans="1:15" s="29" customFormat="1" ht="25.5" x14ac:dyDescent="0.2">
      <c r="A332" s="31" t="s">
        <v>76</v>
      </c>
      <c r="B332" s="36">
        <v>911</v>
      </c>
      <c r="C332" s="27" t="s">
        <v>51</v>
      </c>
      <c r="D332" s="27" t="s">
        <v>18</v>
      </c>
      <c r="E332" s="27" t="s">
        <v>129</v>
      </c>
      <c r="F332" s="30" t="s">
        <v>68</v>
      </c>
      <c r="G332" s="28">
        <f>3.2+0.7</f>
        <v>3.9000000000000004</v>
      </c>
      <c r="H332" s="28">
        <v>3.2</v>
      </c>
      <c r="I332" s="28">
        <v>3.2</v>
      </c>
      <c r="J332" s="21"/>
      <c r="K332" s="114"/>
      <c r="L332" s="21"/>
      <c r="M332" s="21"/>
    </row>
    <row r="333" spans="1:15" s="29" customFormat="1" x14ac:dyDescent="0.2">
      <c r="A333" s="87" t="s">
        <v>69</v>
      </c>
      <c r="B333" s="35">
        <v>911</v>
      </c>
      <c r="C333" s="27" t="s">
        <v>51</v>
      </c>
      <c r="D333" s="27" t="s">
        <v>18</v>
      </c>
      <c r="E333" s="27" t="s">
        <v>129</v>
      </c>
      <c r="F333" s="33">
        <v>300</v>
      </c>
      <c r="G333" s="28">
        <f>320+74.7</f>
        <v>394.7</v>
      </c>
      <c r="H333" s="28">
        <v>320</v>
      </c>
      <c r="I333" s="28">
        <v>320</v>
      </c>
      <c r="J333" s="9"/>
      <c r="K333" s="114"/>
      <c r="L333" s="9"/>
      <c r="M333" s="9"/>
      <c r="N333" s="9"/>
      <c r="O333" s="9"/>
    </row>
    <row r="334" spans="1:15" s="29" customFormat="1" ht="25.5" x14ac:dyDescent="0.2">
      <c r="A334" s="31" t="s">
        <v>144</v>
      </c>
      <c r="B334" s="35">
        <v>911</v>
      </c>
      <c r="C334" s="27" t="s">
        <v>51</v>
      </c>
      <c r="D334" s="27" t="s">
        <v>18</v>
      </c>
      <c r="E334" s="27" t="s">
        <v>129</v>
      </c>
      <c r="F334" s="27" t="s">
        <v>65</v>
      </c>
      <c r="G334" s="28">
        <f>31+3066.5+3.3+330-75.4</f>
        <v>3355.4</v>
      </c>
      <c r="H334" s="28">
        <f>31+3066.5+3.3+330</f>
        <v>3430.8</v>
      </c>
      <c r="I334" s="28">
        <f>31+3066.5+3.3+330</f>
        <v>3430.8</v>
      </c>
      <c r="J334" s="3"/>
      <c r="K334" s="114"/>
      <c r="L334" s="3"/>
      <c r="M334" s="3"/>
      <c r="N334" s="3"/>
      <c r="O334" s="3"/>
    </row>
    <row r="335" spans="1:15" ht="112.5" customHeight="1" x14ac:dyDescent="0.2">
      <c r="A335" s="88" t="s">
        <v>375</v>
      </c>
      <c r="B335" s="22">
        <v>911</v>
      </c>
      <c r="C335" s="19" t="s">
        <v>51</v>
      </c>
      <c r="D335" s="19" t="s">
        <v>18</v>
      </c>
      <c r="E335" s="19" t="s">
        <v>130</v>
      </c>
      <c r="F335" s="19"/>
      <c r="G335" s="20">
        <f>G336</f>
        <v>35842</v>
      </c>
      <c r="H335" s="20">
        <f>H336</f>
        <v>35842</v>
      </c>
      <c r="I335" s="20">
        <f>I336</f>
        <v>35842</v>
      </c>
      <c r="K335" s="114"/>
      <c r="L335" s="9"/>
      <c r="M335" s="9"/>
      <c r="N335" s="9"/>
      <c r="O335" s="9"/>
    </row>
    <row r="336" spans="1:15" s="29" customFormat="1" x14ac:dyDescent="0.2">
      <c r="A336" s="31" t="s">
        <v>69</v>
      </c>
      <c r="B336" s="35">
        <v>911</v>
      </c>
      <c r="C336" s="27" t="s">
        <v>51</v>
      </c>
      <c r="D336" s="27" t="s">
        <v>18</v>
      </c>
      <c r="E336" s="27" t="s">
        <v>130</v>
      </c>
      <c r="F336" s="27" t="s">
        <v>70</v>
      </c>
      <c r="G336" s="28">
        <v>35842</v>
      </c>
      <c r="H336" s="28">
        <v>35842</v>
      </c>
      <c r="I336" s="28">
        <v>35842</v>
      </c>
      <c r="J336" s="21"/>
      <c r="K336" s="114"/>
      <c r="L336" s="21"/>
      <c r="M336" s="21"/>
    </row>
    <row r="337" spans="1:15" s="9" customFormat="1" ht="25.5" x14ac:dyDescent="0.2">
      <c r="A337" s="47" t="s">
        <v>7</v>
      </c>
      <c r="B337" s="44">
        <v>913</v>
      </c>
      <c r="C337" s="48"/>
      <c r="D337" s="48"/>
      <c r="E337" s="48"/>
      <c r="F337" s="48"/>
      <c r="G337" s="46">
        <f>G338+G347+G373</f>
        <v>144019.5</v>
      </c>
      <c r="H337" s="46">
        <f>H338+H347+H373</f>
        <v>105176.8</v>
      </c>
      <c r="I337" s="46">
        <f>I338+I347+I373</f>
        <v>105176.8</v>
      </c>
      <c r="J337" s="72"/>
      <c r="K337" s="114"/>
      <c r="L337" s="72"/>
      <c r="M337" s="29"/>
      <c r="N337" s="29"/>
      <c r="O337" s="29"/>
    </row>
    <row r="338" spans="1:15" s="3" customFormat="1" x14ac:dyDescent="0.2">
      <c r="A338" s="13" t="s">
        <v>37</v>
      </c>
      <c r="B338" s="49">
        <v>913</v>
      </c>
      <c r="C338" s="1" t="s">
        <v>19</v>
      </c>
      <c r="D338" s="1"/>
      <c r="E338" s="1"/>
      <c r="F338" s="1"/>
      <c r="G338" s="2">
        <f>G339</f>
        <v>29528.400000000001</v>
      </c>
      <c r="H338" s="2">
        <f>H339</f>
        <v>26129.100000000002</v>
      </c>
      <c r="I338" s="2">
        <f>I339</f>
        <v>26129.100000000002</v>
      </c>
      <c r="J338" s="21"/>
      <c r="K338" s="116"/>
      <c r="L338" s="21"/>
      <c r="M338" s="21"/>
      <c r="N338" s="29"/>
      <c r="O338" s="29"/>
    </row>
    <row r="339" spans="1:15" s="9" customFormat="1" x14ac:dyDescent="0.2">
      <c r="A339" s="11" t="s">
        <v>341</v>
      </c>
      <c r="B339" s="14">
        <v>913</v>
      </c>
      <c r="C339" s="8" t="s">
        <v>19</v>
      </c>
      <c r="D339" s="8" t="s">
        <v>16</v>
      </c>
      <c r="E339" s="8"/>
      <c r="F339" s="8"/>
      <c r="G339" s="4">
        <f>G342+G345+G340</f>
        <v>29528.400000000001</v>
      </c>
      <c r="H339" s="4">
        <f t="shared" ref="H339:I339" si="47">H342+H345+H340</f>
        <v>26129.100000000002</v>
      </c>
      <c r="I339" s="4">
        <f t="shared" si="47"/>
        <v>26129.100000000002</v>
      </c>
      <c r="J339" s="21"/>
      <c r="K339" s="116"/>
      <c r="L339" s="21"/>
      <c r="M339" s="21"/>
      <c r="N339" s="21"/>
      <c r="O339" s="21"/>
    </row>
    <row r="340" spans="1:15" ht="25.5" x14ac:dyDescent="0.2">
      <c r="A340" s="18" t="s">
        <v>193</v>
      </c>
      <c r="B340" s="18">
        <v>913</v>
      </c>
      <c r="C340" s="19" t="s">
        <v>19</v>
      </c>
      <c r="D340" s="19" t="s">
        <v>16</v>
      </c>
      <c r="E340" s="19" t="s">
        <v>138</v>
      </c>
      <c r="F340" s="19"/>
      <c r="G340" s="20">
        <f>G341</f>
        <v>58.4</v>
      </c>
      <c r="H340" s="20">
        <f>H341</f>
        <v>58.4</v>
      </c>
      <c r="I340" s="20">
        <f>I341</f>
        <v>58.4</v>
      </c>
      <c r="K340" s="114"/>
    </row>
    <row r="341" spans="1:15" ht="25.5" x14ac:dyDescent="0.2">
      <c r="A341" s="31" t="s">
        <v>144</v>
      </c>
      <c r="B341" s="31">
        <v>913</v>
      </c>
      <c r="C341" s="27" t="s">
        <v>19</v>
      </c>
      <c r="D341" s="27" t="s">
        <v>16</v>
      </c>
      <c r="E341" s="27" t="s">
        <v>138</v>
      </c>
      <c r="F341" s="27" t="s">
        <v>65</v>
      </c>
      <c r="G341" s="28">
        <f>58.4</f>
        <v>58.4</v>
      </c>
      <c r="H341" s="28">
        <v>58.4</v>
      </c>
      <c r="I341" s="28">
        <v>58.4</v>
      </c>
      <c r="K341" s="114"/>
    </row>
    <row r="342" spans="1:15" ht="63.75" x14ac:dyDescent="0.2">
      <c r="A342" s="18" t="s">
        <v>355</v>
      </c>
      <c r="B342" s="22">
        <v>913</v>
      </c>
      <c r="C342" s="19" t="s">
        <v>19</v>
      </c>
      <c r="D342" s="19" t="s">
        <v>16</v>
      </c>
      <c r="E342" s="19" t="s">
        <v>240</v>
      </c>
      <c r="F342" s="19"/>
      <c r="G342" s="20">
        <f>G344+G343</f>
        <v>29403</v>
      </c>
      <c r="H342" s="20">
        <f>H344+H343</f>
        <v>26003.7</v>
      </c>
      <c r="I342" s="20">
        <f>I344+I343</f>
        <v>26003.7</v>
      </c>
      <c r="K342" s="116"/>
    </row>
    <row r="343" spans="1:15" s="29" customFormat="1" x14ac:dyDescent="0.2">
      <c r="A343" s="31" t="s">
        <v>69</v>
      </c>
      <c r="B343" s="35">
        <v>913</v>
      </c>
      <c r="C343" s="27" t="s">
        <v>19</v>
      </c>
      <c r="D343" s="27" t="s">
        <v>16</v>
      </c>
      <c r="E343" s="27" t="s">
        <v>240</v>
      </c>
      <c r="F343" s="30" t="s">
        <v>70</v>
      </c>
      <c r="G343" s="28">
        <v>30</v>
      </c>
      <c r="H343" s="28">
        <v>30</v>
      </c>
      <c r="I343" s="28">
        <v>30</v>
      </c>
      <c r="J343" s="12"/>
      <c r="K343" s="114"/>
      <c r="L343" s="12"/>
      <c r="M343" s="12"/>
      <c r="N343" s="12"/>
      <c r="O343" s="12"/>
    </row>
    <row r="344" spans="1:15" s="29" customFormat="1" ht="25.5" x14ac:dyDescent="0.2">
      <c r="A344" s="31" t="s">
        <v>144</v>
      </c>
      <c r="B344" s="31">
        <v>913</v>
      </c>
      <c r="C344" s="27" t="s">
        <v>19</v>
      </c>
      <c r="D344" s="27" t="s">
        <v>16</v>
      </c>
      <c r="E344" s="27" t="s">
        <v>240</v>
      </c>
      <c r="F344" s="27" t="s">
        <v>65</v>
      </c>
      <c r="G344" s="28">
        <f>24006+1967.7-13.2-56.4-19.4-16.6+30.4+1+6.5+3101.8-8.7+154.9-18.6+237.6</f>
        <v>29373</v>
      </c>
      <c r="H344" s="28">
        <f>24006+1967.7</f>
        <v>25973.7</v>
      </c>
      <c r="I344" s="28">
        <f>24006+1967.7</f>
        <v>25973.7</v>
      </c>
      <c r="K344" s="116"/>
    </row>
    <row r="345" spans="1:15" ht="25.5" x14ac:dyDescent="0.2">
      <c r="A345" s="18" t="s">
        <v>356</v>
      </c>
      <c r="B345" s="22">
        <v>913</v>
      </c>
      <c r="C345" s="19" t="s">
        <v>19</v>
      </c>
      <c r="D345" s="19" t="s">
        <v>16</v>
      </c>
      <c r="E345" s="19" t="s">
        <v>195</v>
      </c>
      <c r="F345" s="19"/>
      <c r="G345" s="20">
        <f>G346</f>
        <v>67</v>
      </c>
      <c r="H345" s="20">
        <f>H346</f>
        <v>67</v>
      </c>
      <c r="I345" s="20">
        <f>I346</f>
        <v>67</v>
      </c>
      <c r="J345" s="29"/>
      <c r="K345" s="114"/>
      <c r="L345" s="29"/>
      <c r="M345" s="29"/>
      <c r="N345" s="29"/>
      <c r="O345" s="29"/>
    </row>
    <row r="346" spans="1:15" s="29" customFormat="1" ht="25.5" x14ac:dyDescent="0.2">
      <c r="A346" s="31" t="s">
        <v>144</v>
      </c>
      <c r="B346" s="35">
        <v>913</v>
      </c>
      <c r="C346" s="27" t="s">
        <v>19</v>
      </c>
      <c r="D346" s="27" t="s">
        <v>16</v>
      </c>
      <c r="E346" s="27" t="s">
        <v>195</v>
      </c>
      <c r="F346" s="27" t="s">
        <v>65</v>
      </c>
      <c r="G346" s="28">
        <v>67</v>
      </c>
      <c r="H346" s="28">
        <v>67</v>
      </c>
      <c r="I346" s="28">
        <v>67</v>
      </c>
      <c r="J346" s="21"/>
      <c r="K346" s="114"/>
      <c r="L346" s="21"/>
      <c r="M346" s="21"/>
      <c r="N346" s="21"/>
      <c r="O346" s="21"/>
    </row>
    <row r="347" spans="1:15" s="3" customFormat="1" ht="25.5" x14ac:dyDescent="0.2">
      <c r="A347" s="13" t="s">
        <v>42</v>
      </c>
      <c r="B347" s="49">
        <v>913</v>
      </c>
      <c r="C347" s="1" t="s">
        <v>43</v>
      </c>
      <c r="D347" s="1"/>
      <c r="E347" s="1"/>
      <c r="F347" s="1"/>
      <c r="G347" s="2">
        <f>G348+G364</f>
        <v>114306.09999999999</v>
      </c>
      <c r="H347" s="2">
        <f>H348+H364</f>
        <v>78862.7</v>
      </c>
      <c r="I347" s="2">
        <f>I348+I364</f>
        <v>78862.7</v>
      </c>
      <c r="J347" s="21"/>
      <c r="K347" s="116"/>
      <c r="L347" s="21"/>
      <c r="M347" s="21"/>
      <c r="N347" s="21"/>
      <c r="O347" s="21"/>
    </row>
    <row r="348" spans="1:15" s="9" customFormat="1" x14ac:dyDescent="0.2">
      <c r="A348" s="11" t="s">
        <v>44</v>
      </c>
      <c r="B348" s="14">
        <v>913</v>
      </c>
      <c r="C348" s="8" t="s">
        <v>43</v>
      </c>
      <c r="D348" s="8" t="s">
        <v>12</v>
      </c>
      <c r="E348" s="8"/>
      <c r="F348" s="8"/>
      <c r="G348" s="4">
        <f>G356+G359+G361+G349+G352+G354</f>
        <v>109891.2</v>
      </c>
      <c r="H348" s="4">
        <f t="shared" ref="H348:I348" si="48">H356+H359+H361+H349+H352+H354</f>
        <v>74908.5</v>
      </c>
      <c r="I348" s="4">
        <f t="shared" si="48"/>
        <v>74908.5</v>
      </c>
      <c r="J348" s="21"/>
      <c r="K348" s="116"/>
      <c r="L348" s="21"/>
      <c r="M348" s="21"/>
      <c r="N348" s="21"/>
      <c r="O348" s="21"/>
    </row>
    <row r="349" spans="1:15" x14ac:dyDescent="0.2">
      <c r="A349" s="18" t="s">
        <v>179</v>
      </c>
      <c r="B349" s="22">
        <v>913</v>
      </c>
      <c r="C349" s="19" t="s">
        <v>43</v>
      </c>
      <c r="D349" s="19" t="s">
        <v>12</v>
      </c>
      <c r="E349" s="27" t="s">
        <v>178</v>
      </c>
      <c r="F349" s="19"/>
      <c r="G349" s="20">
        <f>G351+G350</f>
        <v>12500</v>
      </c>
      <c r="H349" s="20">
        <f>H351</f>
        <v>0</v>
      </c>
      <c r="I349" s="20">
        <f>I351</f>
        <v>0</v>
      </c>
      <c r="K349" s="116"/>
    </row>
    <row r="350" spans="1:15" s="29" customFormat="1" ht="25.5" x14ac:dyDescent="0.2">
      <c r="A350" s="31" t="s">
        <v>76</v>
      </c>
      <c r="B350" s="22">
        <v>913</v>
      </c>
      <c r="C350" s="27" t="s">
        <v>43</v>
      </c>
      <c r="D350" s="27" t="s">
        <v>12</v>
      </c>
      <c r="E350" s="27" t="s">
        <v>178</v>
      </c>
      <c r="F350" s="27" t="s">
        <v>68</v>
      </c>
      <c r="G350" s="28">
        <f>100+7400</f>
        <v>7500</v>
      </c>
      <c r="H350" s="28">
        <v>0</v>
      </c>
      <c r="I350" s="28">
        <v>0</v>
      </c>
      <c r="K350" s="114"/>
    </row>
    <row r="351" spans="1:15" s="29" customFormat="1" ht="25.5" x14ac:dyDescent="0.2">
      <c r="A351" s="31" t="s">
        <v>83</v>
      </c>
      <c r="B351" s="22">
        <v>913</v>
      </c>
      <c r="C351" s="27" t="s">
        <v>43</v>
      </c>
      <c r="D351" s="27" t="s">
        <v>12</v>
      </c>
      <c r="E351" s="27" t="s">
        <v>178</v>
      </c>
      <c r="F351" s="27" t="s">
        <v>71</v>
      </c>
      <c r="G351" s="28">
        <f>12500-100-7768.5+368.5</f>
        <v>5000</v>
      </c>
      <c r="H351" s="28">
        <v>0</v>
      </c>
      <c r="I351" s="28">
        <v>0</v>
      </c>
      <c r="K351" s="116"/>
    </row>
    <row r="352" spans="1:15" ht="38.25" x14ac:dyDescent="0.2">
      <c r="A352" s="18" t="s">
        <v>390</v>
      </c>
      <c r="B352" s="18">
        <v>913</v>
      </c>
      <c r="C352" s="19" t="s">
        <v>43</v>
      </c>
      <c r="D352" s="19" t="s">
        <v>12</v>
      </c>
      <c r="E352" s="19" t="s">
        <v>391</v>
      </c>
      <c r="F352" s="19"/>
      <c r="G352" s="20">
        <f>G353</f>
        <v>4564</v>
      </c>
      <c r="H352" s="20">
        <f>H353</f>
        <v>4564</v>
      </c>
      <c r="I352" s="20">
        <f>I353</f>
        <v>4564</v>
      </c>
      <c r="K352" s="114"/>
    </row>
    <row r="353" spans="1:15" ht="25.5" x14ac:dyDescent="0.2">
      <c r="A353" s="31" t="s">
        <v>144</v>
      </c>
      <c r="B353" s="31">
        <v>913</v>
      </c>
      <c r="C353" s="27" t="s">
        <v>43</v>
      </c>
      <c r="D353" s="27" t="s">
        <v>12</v>
      </c>
      <c r="E353" s="27" t="s">
        <v>391</v>
      </c>
      <c r="F353" s="27" t="s">
        <v>65</v>
      </c>
      <c r="G353" s="28">
        <v>4564</v>
      </c>
      <c r="H353" s="28">
        <v>4564</v>
      </c>
      <c r="I353" s="28">
        <v>4564</v>
      </c>
      <c r="K353" s="114"/>
    </row>
    <row r="354" spans="1:15" ht="25.5" x14ac:dyDescent="0.2">
      <c r="A354" s="18" t="s">
        <v>403</v>
      </c>
      <c r="B354" s="18">
        <v>913</v>
      </c>
      <c r="C354" s="19" t="s">
        <v>43</v>
      </c>
      <c r="D354" s="19" t="s">
        <v>12</v>
      </c>
      <c r="E354" s="19" t="s">
        <v>402</v>
      </c>
      <c r="F354" s="19"/>
      <c r="G354" s="20">
        <f>G355</f>
        <v>40</v>
      </c>
      <c r="H354" s="20">
        <f>H355</f>
        <v>0</v>
      </c>
      <c r="I354" s="20">
        <f>I355</f>
        <v>0</v>
      </c>
      <c r="K354" s="114"/>
    </row>
    <row r="355" spans="1:15" ht="25.5" x14ac:dyDescent="0.2">
      <c r="A355" s="31" t="s">
        <v>144</v>
      </c>
      <c r="B355" s="31">
        <v>913</v>
      </c>
      <c r="C355" s="27" t="s">
        <v>43</v>
      </c>
      <c r="D355" s="27" t="s">
        <v>12</v>
      </c>
      <c r="E355" s="27" t="s">
        <v>402</v>
      </c>
      <c r="F355" s="27" t="s">
        <v>65</v>
      </c>
      <c r="G355" s="28">
        <v>40</v>
      </c>
      <c r="H355" s="28">
        <v>0</v>
      </c>
      <c r="I355" s="28">
        <v>0</v>
      </c>
      <c r="K355" s="114"/>
    </row>
    <row r="356" spans="1:15" x14ac:dyDescent="0.2">
      <c r="A356" s="18" t="s">
        <v>264</v>
      </c>
      <c r="B356" s="22">
        <v>913</v>
      </c>
      <c r="C356" s="19" t="s">
        <v>43</v>
      </c>
      <c r="D356" s="19" t="s">
        <v>12</v>
      </c>
      <c r="E356" s="19" t="s">
        <v>263</v>
      </c>
      <c r="F356" s="19"/>
      <c r="G356" s="20">
        <f>G358+G357</f>
        <v>66280.399999999994</v>
      </c>
      <c r="H356" s="20">
        <f>H358+H357</f>
        <v>50430</v>
      </c>
      <c r="I356" s="20">
        <f>I358+I357</f>
        <v>50430</v>
      </c>
      <c r="K356" s="116"/>
    </row>
    <row r="357" spans="1:15" s="29" customFormat="1" x14ac:dyDescent="0.2">
      <c r="A357" s="31" t="s">
        <v>69</v>
      </c>
      <c r="B357" s="31">
        <v>913</v>
      </c>
      <c r="C357" s="27" t="s">
        <v>43</v>
      </c>
      <c r="D357" s="27" t="s">
        <v>12</v>
      </c>
      <c r="E357" s="27" t="s">
        <v>263</v>
      </c>
      <c r="F357" s="30" t="s">
        <v>70</v>
      </c>
      <c r="G357" s="28">
        <v>15</v>
      </c>
      <c r="H357" s="28">
        <v>15</v>
      </c>
      <c r="I357" s="28">
        <v>15</v>
      </c>
      <c r="K357" s="114"/>
    </row>
    <row r="358" spans="1:15" s="29" customFormat="1" ht="25.5" x14ac:dyDescent="0.2">
      <c r="A358" s="31" t="s">
        <v>144</v>
      </c>
      <c r="B358" s="35">
        <v>913</v>
      </c>
      <c r="C358" s="27" t="s">
        <v>43</v>
      </c>
      <c r="D358" s="27" t="s">
        <v>12</v>
      </c>
      <c r="E358" s="27" t="s">
        <v>263</v>
      </c>
      <c r="F358" s="27" t="s">
        <v>65</v>
      </c>
      <c r="G358" s="28">
        <f>50415+13.2+1.2-103.3+262.2-71.3-29-10-262.2+14450.7-5.6+655.9-68.1+1016.7</f>
        <v>66265.399999999994</v>
      </c>
      <c r="H358" s="28">
        <v>50415</v>
      </c>
      <c r="I358" s="28">
        <v>50415</v>
      </c>
      <c r="J358" s="21"/>
      <c r="K358" s="116"/>
      <c r="L358" s="21"/>
      <c r="M358" s="21"/>
    </row>
    <row r="359" spans="1:15" x14ac:dyDescent="0.2">
      <c r="A359" s="18" t="s">
        <v>266</v>
      </c>
      <c r="B359" s="22">
        <v>913</v>
      </c>
      <c r="C359" s="19" t="s">
        <v>43</v>
      </c>
      <c r="D359" s="19" t="s">
        <v>12</v>
      </c>
      <c r="E359" s="19" t="s">
        <v>265</v>
      </c>
      <c r="F359" s="19"/>
      <c r="G359" s="20">
        <f>G360</f>
        <v>4348.3000000000011</v>
      </c>
      <c r="H359" s="20">
        <f>H360</f>
        <v>3103.8</v>
      </c>
      <c r="I359" s="20">
        <f>I360</f>
        <v>3103.8</v>
      </c>
      <c r="J359" s="9"/>
      <c r="K359" s="116"/>
      <c r="L359" s="9"/>
      <c r="M359" s="9"/>
      <c r="N359" s="9"/>
      <c r="O359" s="9"/>
    </row>
    <row r="360" spans="1:15" s="29" customFormat="1" ht="25.5" x14ac:dyDescent="0.2">
      <c r="A360" s="31" t="s">
        <v>144</v>
      </c>
      <c r="B360" s="35">
        <v>913</v>
      </c>
      <c r="C360" s="27" t="s">
        <v>43</v>
      </c>
      <c r="D360" s="27" t="s">
        <v>12</v>
      </c>
      <c r="E360" s="27" t="s">
        <v>265</v>
      </c>
      <c r="F360" s="27" t="s">
        <v>65</v>
      </c>
      <c r="G360" s="28">
        <f>3103.8+38.8+73+35.6+3-35.6+877-0.3+175.3+20.1+57.6</f>
        <v>4348.3000000000011</v>
      </c>
      <c r="H360" s="28">
        <v>3103.8</v>
      </c>
      <c r="I360" s="28">
        <v>3103.8</v>
      </c>
      <c r="J360" s="21"/>
      <c r="K360" s="116"/>
      <c r="L360" s="21"/>
      <c r="M360" s="21"/>
      <c r="N360" s="21"/>
      <c r="O360" s="21"/>
    </row>
    <row r="361" spans="1:15" x14ac:dyDescent="0.2">
      <c r="A361" s="18" t="s">
        <v>268</v>
      </c>
      <c r="B361" s="22">
        <v>913</v>
      </c>
      <c r="C361" s="19" t="s">
        <v>43</v>
      </c>
      <c r="D361" s="19" t="s">
        <v>12</v>
      </c>
      <c r="E361" s="19" t="s">
        <v>267</v>
      </c>
      <c r="F361" s="19"/>
      <c r="G361" s="20">
        <f>G363+G362</f>
        <v>22158.5</v>
      </c>
      <c r="H361" s="20">
        <f>H363+H362</f>
        <v>16810.7</v>
      </c>
      <c r="I361" s="20">
        <f>I363+I362</f>
        <v>16810.7</v>
      </c>
      <c r="K361" s="116"/>
      <c r="N361" s="29"/>
      <c r="O361" s="29"/>
    </row>
    <row r="362" spans="1:15" s="29" customFormat="1" x14ac:dyDescent="0.2">
      <c r="A362" s="31" t="s">
        <v>69</v>
      </c>
      <c r="B362" s="31">
        <v>913</v>
      </c>
      <c r="C362" s="27" t="s">
        <v>43</v>
      </c>
      <c r="D362" s="27" t="s">
        <v>12</v>
      </c>
      <c r="E362" s="27" t="s">
        <v>267</v>
      </c>
      <c r="F362" s="30" t="s">
        <v>70</v>
      </c>
      <c r="G362" s="28">
        <v>15</v>
      </c>
      <c r="H362" s="28">
        <v>15</v>
      </c>
      <c r="I362" s="28">
        <v>15</v>
      </c>
      <c r="J362" s="21"/>
      <c r="K362" s="114"/>
      <c r="L362" s="21"/>
      <c r="M362" s="21"/>
    </row>
    <row r="363" spans="1:15" s="29" customFormat="1" ht="25.5" x14ac:dyDescent="0.2">
      <c r="A363" s="31" t="s">
        <v>144</v>
      </c>
      <c r="B363" s="35">
        <v>913</v>
      </c>
      <c r="C363" s="27" t="s">
        <v>43</v>
      </c>
      <c r="D363" s="27" t="s">
        <v>12</v>
      </c>
      <c r="E363" s="27" t="s">
        <v>267</v>
      </c>
      <c r="F363" s="27" t="s">
        <v>65</v>
      </c>
      <c r="G363" s="28">
        <f>16795.7+16.4+49.7+70.7+16.6+40.9+24+3.5-70.7+4604.3+14.6+231.7+66.6+279.5</f>
        <v>22143.5</v>
      </c>
      <c r="H363" s="28">
        <v>16795.7</v>
      </c>
      <c r="I363" s="28">
        <v>16795.7</v>
      </c>
      <c r="J363" s="21"/>
      <c r="K363" s="116"/>
      <c r="L363" s="21"/>
      <c r="M363" s="21"/>
    </row>
    <row r="364" spans="1:15" s="9" customFormat="1" ht="16.5" customHeight="1" x14ac:dyDescent="0.2">
      <c r="A364" s="11" t="s">
        <v>25</v>
      </c>
      <c r="B364" s="14">
        <v>913</v>
      </c>
      <c r="C364" s="8" t="s">
        <v>43</v>
      </c>
      <c r="D364" s="8" t="s">
        <v>18</v>
      </c>
      <c r="E364" s="8"/>
      <c r="F364" s="8"/>
      <c r="G364" s="4">
        <f>G365+G369</f>
        <v>4414.8999999999996</v>
      </c>
      <c r="H364" s="4">
        <f>H365+H369</f>
        <v>3954.2</v>
      </c>
      <c r="I364" s="4">
        <f>I365+I369</f>
        <v>3954.2</v>
      </c>
      <c r="J364" s="21"/>
      <c r="K364" s="116"/>
      <c r="L364" s="21"/>
      <c r="M364" s="21"/>
      <c r="N364" s="21"/>
      <c r="O364" s="21"/>
    </row>
    <row r="365" spans="1:15" x14ac:dyDescent="0.2">
      <c r="A365" s="18" t="s">
        <v>361</v>
      </c>
      <c r="B365" s="22">
        <v>913</v>
      </c>
      <c r="C365" s="19" t="s">
        <v>43</v>
      </c>
      <c r="D365" s="19" t="s">
        <v>18</v>
      </c>
      <c r="E365" s="19" t="s">
        <v>269</v>
      </c>
      <c r="F365" s="19"/>
      <c r="G365" s="20">
        <f>G366+G367+G368</f>
        <v>1136.2</v>
      </c>
      <c r="H365" s="20">
        <f>H366+H367+H368</f>
        <v>1018.3</v>
      </c>
      <c r="I365" s="20">
        <f>I366+I367+I368</f>
        <v>1018.3</v>
      </c>
      <c r="K365" s="116"/>
      <c r="N365" s="29"/>
      <c r="O365" s="29"/>
    </row>
    <row r="366" spans="1:15" s="29" customFormat="1" ht="51.75" customHeight="1" x14ac:dyDescent="0.2">
      <c r="A366" s="26" t="s">
        <v>66</v>
      </c>
      <c r="B366" s="35">
        <v>913</v>
      </c>
      <c r="C366" s="27" t="s">
        <v>43</v>
      </c>
      <c r="D366" s="27" t="s">
        <v>18</v>
      </c>
      <c r="E366" s="27" t="s">
        <v>269</v>
      </c>
      <c r="F366" s="30" t="s">
        <v>67</v>
      </c>
      <c r="G366" s="28">
        <f>936.3+9+117.9</f>
        <v>1063.2</v>
      </c>
      <c r="H366" s="28">
        <f>936.3+9</f>
        <v>945.3</v>
      </c>
      <c r="I366" s="28">
        <f>936.3+9</f>
        <v>945.3</v>
      </c>
      <c r="J366" s="21"/>
      <c r="K366" s="116"/>
      <c r="L366" s="21"/>
      <c r="M366" s="21"/>
    </row>
    <row r="367" spans="1:15" s="29" customFormat="1" ht="25.5" x14ac:dyDescent="0.2">
      <c r="A367" s="31" t="s">
        <v>76</v>
      </c>
      <c r="B367" s="35">
        <v>913</v>
      </c>
      <c r="C367" s="27" t="s">
        <v>43</v>
      </c>
      <c r="D367" s="27" t="s">
        <v>18</v>
      </c>
      <c r="E367" s="27" t="s">
        <v>269</v>
      </c>
      <c r="F367" s="30" t="s">
        <v>68</v>
      </c>
      <c r="G367" s="28">
        <v>64.5</v>
      </c>
      <c r="H367" s="28">
        <v>64.5</v>
      </c>
      <c r="I367" s="28">
        <v>64.5</v>
      </c>
      <c r="J367" s="3"/>
      <c r="K367" s="114"/>
      <c r="L367" s="3"/>
      <c r="M367" s="3"/>
      <c r="N367" s="3"/>
      <c r="O367" s="3"/>
    </row>
    <row r="368" spans="1:15" s="29" customFormat="1" x14ac:dyDescent="0.2">
      <c r="A368" s="31" t="s">
        <v>72</v>
      </c>
      <c r="B368" s="35">
        <v>913</v>
      </c>
      <c r="C368" s="27" t="s">
        <v>43</v>
      </c>
      <c r="D368" s="27" t="s">
        <v>18</v>
      </c>
      <c r="E368" s="27" t="s">
        <v>269</v>
      </c>
      <c r="F368" s="27" t="s">
        <v>73</v>
      </c>
      <c r="G368" s="28">
        <v>8.5</v>
      </c>
      <c r="H368" s="28">
        <v>8.5</v>
      </c>
      <c r="I368" s="28">
        <v>8.5</v>
      </c>
      <c r="J368" s="9"/>
      <c r="K368" s="114"/>
      <c r="L368" s="9"/>
      <c r="M368" s="9"/>
      <c r="N368" s="9"/>
      <c r="O368" s="9"/>
    </row>
    <row r="369" spans="1:16" x14ac:dyDescent="0.2">
      <c r="A369" s="18" t="s">
        <v>361</v>
      </c>
      <c r="B369" s="22">
        <v>913</v>
      </c>
      <c r="C369" s="19" t="s">
        <v>43</v>
      </c>
      <c r="D369" s="19" t="s">
        <v>18</v>
      </c>
      <c r="E369" s="19" t="s">
        <v>270</v>
      </c>
      <c r="F369" s="19"/>
      <c r="G369" s="20">
        <f>G370+G371+G372</f>
        <v>3278.7</v>
      </c>
      <c r="H369" s="20">
        <f t="shared" ref="H369:I369" si="49">H370+H371+H372</f>
        <v>2935.8999999999996</v>
      </c>
      <c r="I369" s="20">
        <f t="shared" si="49"/>
        <v>2935.8999999999996</v>
      </c>
      <c r="K369" s="116"/>
    </row>
    <row r="370" spans="1:16" s="29" customFormat="1" ht="52.5" customHeight="1" x14ac:dyDescent="0.2">
      <c r="A370" s="26" t="s">
        <v>66</v>
      </c>
      <c r="B370" s="35">
        <v>913</v>
      </c>
      <c r="C370" s="27" t="s">
        <v>43</v>
      </c>
      <c r="D370" s="27" t="s">
        <v>18</v>
      </c>
      <c r="E370" s="27" t="s">
        <v>270</v>
      </c>
      <c r="F370" s="30" t="s">
        <v>67</v>
      </c>
      <c r="G370" s="28">
        <f>2671.7+25.7+341.8</f>
        <v>3039.2</v>
      </c>
      <c r="H370" s="28">
        <f>2671.7+25.7</f>
        <v>2697.3999999999996</v>
      </c>
      <c r="I370" s="28">
        <f>2671.7+25.7</f>
        <v>2697.3999999999996</v>
      </c>
      <c r="J370" s="21"/>
      <c r="K370" s="116"/>
      <c r="L370" s="21"/>
      <c r="M370" s="21"/>
    </row>
    <row r="371" spans="1:16" s="29" customFormat="1" ht="25.5" x14ac:dyDescent="0.2">
      <c r="A371" s="31" t="s">
        <v>76</v>
      </c>
      <c r="B371" s="35">
        <v>913</v>
      </c>
      <c r="C371" s="27" t="s">
        <v>43</v>
      </c>
      <c r="D371" s="27" t="s">
        <v>18</v>
      </c>
      <c r="E371" s="27" t="s">
        <v>270</v>
      </c>
      <c r="F371" s="30" t="s">
        <v>68</v>
      </c>
      <c r="G371" s="28">
        <v>238.5</v>
      </c>
      <c r="H371" s="28">
        <v>238.5</v>
      </c>
      <c r="I371" s="28">
        <v>238.5</v>
      </c>
      <c r="J371" s="9"/>
      <c r="K371" s="114"/>
      <c r="L371" s="9"/>
      <c r="M371" s="9"/>
      <c r="N371" s="9"/>
      <c r="O371" s="9"/>
    </row>
    <row r="372" spans="1:16" s="29" customFormat="1" x14ac:dyDescent="0.2">
      <c r="A372" s="31" t="s">
        <v>72</v>
      </c>
      <c r="B372" s="35">
        <v>913</v>
      </c>
      <c r="C372" s="27" t="s">
        <v>43</v>
      </c>
      <c r="D372" s="27" t="s">
        <v>18</v>
      </c>
      <c r="E372" s="27" t="s">
        <v>270</v>
      </c>
      <c r="F372" s="30" t="s">
        <v>73</v>
      </c>
      <c r="G372" s="28">
        <v>1</v>
      </c>
      <c r="H372" s="28"/>
      <c r="I372" s="28"/>
      <c r="J372" s="9"/>
      <c r="K372" s="114"/>
      <c r="L372" s="9"/>
      <c r="M372" s="9"/>
      <c r="N372" s="9"/>
      <c r="O372" s="9"/>
    </row>
    <row r="373" spans="1:16" s="3" customFormat="1" x14ac:dyDescent="0.2">
      <c r="A373" s="13" t="s">
        <v>52</v>
      </c>
      <c r="B373" s="49">
        <v>913</v>
      </c>
      <c r="C373" s="1" t="s">
        <v>51</v>
      </c>
      <c r="D373" s="1"/>
      <c r="E373" s="1"/>
      <c r="F373" s="1"/>
      <c r="G373" s="2">
        <f>G374</f>
        <v>185</v>
      </c>
      <c r="H373" s="2">
        <f>H374</f>
        <v>185</v>
      </c>
      <c r="I373" s="2">
        <f>I374</f>
        <v>185</v>
      </c>
      <c r="K373" s="114"/>
    </row>
    <row r="374" spans="1:16" s="9" customFormat="1" x14ac:dyDescent="0.2">
      <c r="A374" s="11" t="s">
        <v>55</v>
      </c>
      <c r="B374" s="14">
        <v>913</v>
      </c>
      <c r="C374" s="8" t="s">
        <v>51</v>
      </c>
      <c r="D374" s="8" t="s">
        <v>16</v>
      </c>
      <c r="E374" s="8"/>
      <c r="F374" s="8"/>
      <c r="G374" s="4">
        <f>SUM(G375)</f>
        <v>185</v>
      </c>
      <c r="H374" s="4">
        <f>SUM(H375)</f>
        <v>185</v>
      </c>
      <c r="I374" s="4">
        <f>SUM(I375)</f>
        <v>185</v>
      </c>
      <c r="J374" s="21"/>
      <c r="K374" s="114"/>
      <c r="L374" s="21"/>
      <c r="M374" s="21"/>
      <c r="N374" s="21"/>
      <c r="O374" s="21"/>
    </row>
    <row r="375" spans="1:16" ht="25.5" customHeight="1" x14ac:dyDescent="0.2">
      <c r="A375" s="18" t="s">
        <v>372</v>
      </c>
      <c r="B375" s="22">
        <v>913</v>
      </c>
      <c r="C375" s="19">
        <v>10</v>
      </c>
      <c r="D375" s="19" t="s">
        <v>16</v>
      </c>
      <c r="E375" s="19" t="s">
        <v>86</v>
      </c>
      <c r="F375" s="19"/>
      <c r="G375" s="20">
        <f>G376</f>
        <v>185</v>
      </c>
      <c r="H375" s="20">
        <f>H376</f>
        <v>185</v>
      </c>
      <c r="I375" s="20">
        <f>I376</f>
        <v>185</v>
      </c>
      <c r="K375" s="114"/>
    </row>
    <row r="376" spans="1:16" s="29" customFormat="1" x14ac:dyDescent="0.2">
      <c r="A376" s="87" t="s">
        <v>69</v>
      </c>
      <c r="B376" s="35">
        <v>913</v>
      </c>
      <c r="C376" s="27">
        <v>10</v>
      </c>
      <c r="D376" s="27" t="s">
        <v>16</v>
      </c>
      <c r="E376" s="27" t="s">
        <v>86</v>
      </c>
      <c r="F376" s="27" t="s">
        <v>70</v>
      </c>
      <c r="G376" s="28">
        <v>185</v>
      </c>
      <c r="H376" s="28">
        <v>185</v>
      </c>
      <c r="I376" s="28">
        <v>185</v>
      </c>
      <c r="J376" s="21"/>
      <c r="K376" s="114"/>
      <c r="L376" s="21"/>
      <c r="M376" s="21"/>
      <c r="N376" s="21"/>
      <c r="O376" s="21"/>
    </row>
    <row r="377" spans="1:16" s="9" customFormat="1" ht="29.25" customHeight="1" x14ac:dyDescent="0.2">
      <c r="A377" s="47" t="s">
        <v>49</v>
      </c>
      <c r="B377" s="44">
        <v>915</v>
      </c>
      <c r="C377" s="48"/>
      <c r="D377" s="48"/>
      <c r="E377" s="48"/>
      <c r="F377" s="48"/>
      <c r="G377" s="46">
        <f>G382+G378</f>
        <v>651204.90315000003</v>
      </c>
      <c r="H377" s="46">
        <f t="shared" ref="H377:I377" si="50">H382+H378</f>
        <v>625205</v>
      </c>
      <c r="I377" s="46">
        <f t="shared" si="50"/>
        <v>630333</v>
      </c>
      <c r="J377" s="72"/>
      <c r="K377" s="114"/>
      <c r="L377" s="3"/>
      <c r="M377" s="3"/>
      <c r="N377" s="3"/>
      <c r="O377" s="3"/>
    </row>
    <row r="378" spans="1:16" s="3" customFormat="1" x14ac:dyDescent="0.2">
      <c r="A378" s="13" t="s">
        <v>37</v>
      </c>
      <c r="B378" s="49">
        <v>915</v>
      </c>
      <c r="C378" s="1" t="s">
        <v>19</v>
      </c>
      <c r="D378" s="1"/>
      <c r="E378" s="1"/>
      <c r="F378" s="1"/>
      <c r="G378" s="2">
        <f t="shared" ref="G378:I380" si="51">G379</f>
        <v>193</v>
      </c>
      <c r="H378" s="2">
        <f t="shared" si="51"/>
        <v>193</v>
      </c>
      <c r="I378" s="2">
        <f t="shared" si="51"/>
        <v>193</v>
      </c>
      <c r="J378" s="21"/>
      <c r="K378" s="114"/>
      <c r="L378" s="21"/>
      <c r="M378" s="21"/>
      <c r="N378" s="21"/>
      <c r="O378" s="21"/>
      <c r="P378" s="21"/>
    </row>
    <row r="379" spans="1:16" x14ac:dyDescent="0.2">
      <c r="A379" s="11" t="s">
        <v>40</v>
      </c>
      <c r="B379" s="11">
        <v>915</v>
      </c>
      <c r="C379" s="8" t="s">
        <v>19</v>
      </c>
      <c r="D379" s="8" t="s">
        <v>19</v>
      </c>
      <c r="E379" s="8"/>
      <c r="F379" s="8"/>
      <c r="G379" s="4">
        <f t="shared" si="51"/>
        <v>193</v>
      </c>
      <c r="H379" s="4">
        <f t="shared" si="51"/>
        <v>193</v>
      </c>
      <c r="I379" s="4">
        <f t="shared" si="51"/>
        <v>193</v>
      </c>
      <c r="K379" s="114"/>
    </row>
    <row r="380" spans="1:16" ht="25.5" x14ac:dyDescent="0.2">
      <c r="A380" s="18" t="s">
        <v>271</v>
      </c>
      <c r="B380" s="18">
        <v>915</v>
      </c>
      <c r="C380" s="19" t="s">
        <v>19</v>
      </c>
      <c r="D380" s="19" t="s">
        <v>19</v>
      </c>
      <c r="E380" s="19" t="s">
        <v>141</v>
      </c>
      <c r="F380" s="19"/>
      <c r="G380" s="20">
        <f t="shared" si="51"/>
        <v>193</v>
      </c>
      <c r="H380" s="20">
        <f t="shared" si="51"/>
        <v>193</v>
      </c>
      <c r="I380" s="20">
        <f t="shared" si="51"/>
        <v>193</v>
      </c>
      <c r="K380" s="114"/>
    </row>
    <row r="381" spans="1:16" ht="51" customHeight="1" x14ac:dyDescent="0.2">
      <c r="A381" s="26" t="s">
        <v>66</v>
      </c>
      <c r="B381" s="26">
        <v>915</v>
      </c>
      <c r="C381" s="27" t="s">
        <v>19</v>
      </c>
      <c r="D381" s="27" t="s">
        <v>19</v>
      </c>
      <c r="E381" s="27" t="s">
        <v>141</v>
      </c>
      <c r="F381" s="30" t="s">
        <v>67</v>
      </c>
      <c r="G381" s="28">
        <f>195.4-2.4</f>
        <v>193</v>
      </c>
      <c r="H381" s="28">
        <v>193</v>
      </c>
      <c r="I381" s="28">
        <v>193</v>
      </c>
      <c r="K381" s="114"/>
    </row>
    <row r="382" spans="1:16" s="3" customFormat="1" x14ac:dyDescent="0.2">
      <c r="A382" s="13" t="s">
        <v>52</v>
      </c>
      <c r="B382" s="49">
        <v>915</v>
      </c>
      <c r="C382" s="1" t="s">
        <v>51</v>
      </c>
      <c r="D382" s="1"/>
      <c r="E382" s="1"/>
      <c r="F382" s="1"/>
      <c r="G382" s="2">
        <f>G383+G387+G400+G460+G476</f>
        <v>651011.90315000003</v>
      </c>
      <c r="H382" s="2">
        <f>H383+H387+H400+H460+H476</f>
        <v>625012</v>
      </c>
      <c r="I382" s="2">
        <f>I383+I387+I400+I460+I476</f>
        <v>630140</v>
      </c>
      <c r="J382" s="21"/>
      <c r="K382" s="116"/>
      <c r="L382" s="21"/>
      <c r="M382" s="21"/>
      <c r="N382" s="21"/>
      <c r="O382" s="21"/>
    </row>
    <row r="383" spans="1:16" s="9" customFormat="1" x14ac:dyDescent="0.2">
      <c r="A383" s="11" t="s">
        <v>53</v>
      </c>
      <c r="B383" s="14">
        <v>915</v>
      </c>
      <c r="C383" s="8" t="s">
        <v>51</v>
      </c>
      <c r="D383" s="8" t="s">
        <v>12</v>
      </c>
      <c r="E383" s="8"/>
      <c r="F383" s="8"/>
      <c r="G383" s="4">
        <f>G384</f>
        <v>7005.4</v>
      </c>
      <c r="H383" s="4">
        <f>H384</f>
        <v>5805.4</v>
      </c>
      <c r="I383" s="4">
        <f>I384</f>
        <v>5805.4</v>
      </c>
      <c r="J383" s="21"/>
      <c r="K383" s="116"/>
      <c r="L383" s="21"/>
      <c r="M383" s="21"/>
      <c r="N383" s="29"/>
      <c r="O383" s="29"/>
    </row>
    <row r="384" spans="1:16" ht="75" customHeight="1" x14ac:dyDescent="0.2">
      <c r="A384" s="18" t="s">
        <v>272</v>
      </c>
      <c r="B384" s="22">
        <v>915</v>
      </c>
      <c r="C384" s="19" t="s">
        <v>51</v>
      </c>
      <c r="D384" s="19" t="s">
        <v>12</v>
      </c>
      <c r="E384" s="19" t="s">
        <v>273</v>
      </c>
      <c r="F384" s="19"/>
      <c r="G384" s="20">
        <f>G386+G385</f>
        <v>7005.4</v>
      </c>
      <c r="H384" s="20">
        <f>H386+H385</f>
        <v>5805.4</v>
      </c>
      <c r="I384" s="20">
        <f>I386+I385</f>
        <v>5805.4</v>
      </c>
      <c r="K384" s="116"/>
    </row>
    <row r="385" spans="1:15" ht="24.75" customHeight="1" x14ac:dyDescent="0.2">
      <c r="A385" s="31" t="s">
        <v>76</v>
      </c>
      <c r="B385" s="26">
        <v>915</v>
      </c>
      <c r="C385" s="27" t="s">
        <v>51</v>
      </c>
      <c r="D385" s="27" t="s">
        <v>12</v>
      </c>
      <c r="E385" s="27" t="s">
        <v>273</v>
      </c>
      <c r="F385" s="30" t="s">
        <v>68</v>
      </c>
      <c r="G385" s="28">
        <f>28.9+6</f>
        <v>34.9</v>
      </c>
      <c r="H385" s="28">
        <v>28.9</v>
      </c>
      <c r="I385" s="28">
        <v>28.9</v>
      </c>
      <c r="K385" s="116"/>
    </row>
    <row r="386" spans="1:15" s="29" customFormat="1" x14ac:dyDescent="0.2">
      <c r="A386" s="31" t="s">
        <v>69</v>
      </c>
      <c r="B386" s="35">
        <v>915</v>
      </c>
      <c r="C386" s="27" t="s">
        <v>51</v>
      </c>
      <c r="D386" s="27" t="s">
        <v>12</v>
      </c>
      <c r="E386" s="27" t="s">
        <v>273</v>
      </c>
      <c r="F386" s="27" t="s">
        <v>70</v>
      </c>
      <c r="G386" s="28">
        <f>5776.5+1194</f>
        <v>6970.5</v>
      </c>
      <c r="H386" s="28">
        <v>5776.5</v>
      </c>
      <c r="I386" s="28">
        <v>5776.5</v>
      </c>
      <c r="J386" s="21"/>
      <c r="K386" s="116"/>
      <c r="L386" s="21"/>
      <c r="M386" s="21"/>
    </row>
    <row r="387" spans="1:15" s="9" customFormat="1" x14ac:dyDescent="0.2">
      <c r="A387" s="11" t="s">
        <v>54</v>
      </c>
      <c r="B387" s="14">
        <v>915</v>
      </c>
      <c r="C387" s="8" t="s">
        <v>51</v>
      </c>
      <c r="D387" s="8" t="s">
        <v>14</v>
      </c>
      <c r="E387" s="8"/>
      <c r="F387" s="8"/>
      <c r="G387" s="4">
        <f>G388+G390+G395+G398</f>
        <v>158368.40599999999</v>
      </c>
      <c r="H387" s="4">
        <f>H388+H390+H395+H398</f>
        <v>149192</v>
      </c>
      <c r="I387" s="4">
        <f>I388+I390+I395+I398</f>
        <v>149192</v>
      </c>
      <c r="J387" s="21"/>
      <c r="K387" s="116"/>
      <c r="L387" s="21"/>
      <c r="M387" s="21"/>
      <c r="N387" s="29"/>
      <c r="O387" s="29"/>
    </row>
    <row r="388" spans="1:15" ht="51" x14ac:dyDescent="0.2">
      <c r="A388" s="18" t="s">
        <v>274</v>
      </c>
      <c r="B388" s="22">
        <v>915</v>
      </c>
      <c r="C388" s="19" t="s">
        <v>51</v>
      </c>
      <c r="D388" s="19" t="s">
        <v>14</v>
      </c>
      <c r="E388" s="19" t="s">
        <v>98</v>
      </c>
      <c r="F388" s="19"/>
      <c r="G388" s="20">
        <f>G389</f>
        <v>111295.5</v>
      </c>
      <c r="H388" s="20">
        <f>H389</f>
        <v>107263</v>
      </c>
      <c r="I388" s="20">
        <f>I389</f>
        <v>107263</v>
      </c>
      <c r="K388" s="116"/>
      <c r="N388" s="29"/>
      <c r="O388" s="29"/>
    </row>
    <row r="389" spans="1:15" s="29" customFormat="1" ht="25.5" x14ac:dyDescent="0.2">
      <c r="A389" s="31" t="s">
        <v>144</v>
      </c>
      <c r="B389" s="35">
        <v>915</v>
      </c>
      <c r="C389" s="27" t="s">
        <v>51</v>
      </c>
      <c r="D389" s="27" t="s">
        <v>14</v>
      </c>
      <c r="E389" s="27" t="s">
        <v>99</v>
      </c>
      <c r="F389" s="27" t="s">
        <v>65</v>
      </c>
      <c r="G389" s="28">
        <f>85897+21366+4032.5</f>
        <v>111295.5</v>
      </c>
      <c r="H389" s="28">
        <f>85897+21366</f>
        <v>107263</v>
      </c>
      <c r="I389" s="28">
        <f>85897+21366</f>
        <v>107263</v>
      </c>
      <c r="J389" s="21"/>
      <c r="K389" s="116"/>
      <c r="L389" s="21"/>
      <c r="M389" s="21"/>
      <c r="N389" s="21"/>
      <c r="O389" s="21"/>
    </row>
    <row r="390" spans="1:15" ht="62.25" customHeight="1" x14ac:dyDescent="0.2">
      <c r="A390" s="18" t="s">
        <v>275</v>
      </c>
      <c r="B390" s="22">
        <v>915</v>
      </c>
      <c r="C390" s="19" t="s">
        <v>51</v>
      </c>
      <c r="D390" s="19" t="s">
        <v>14</v>
      </c>
      <c r="E390" s="19" t="s">
        <v>101</v>
      </c>
      <c r="F390" s="19"/>
      <c r="G390" s="20">
        <f>G391+G393+G394+G392</f>
        <v>46202.8</v>
      </c>
      <c r="H390" s="20">
        <f t="shared" ref="H390:I390" si="52">H391+H393+H394+H392</f>
        <v>41745</v>
      </c>
      <c r="I390" s="20">
        <f t="shared" si="52"/>
        <v>41745</v>
      </c>
      <c r="J390" s="29"/>
      <c r="K390" s="116"/>
      <c r="L390" s="29"/>
      <c r="M390" s="29"/>
      <c r="N390" s="29"/>
      <c r="O390" s="29"/>
    </row>
    <row r="391" spans="1:15" s="29" customFormat="1" ht="54" customHeight="1" x14ac:dyDescent="0.2">
      <c r="A391" s="26" t="s">
        <v>66</v>
      </c>
      <c r="B391" s="35">
        <v>915</v>
      </c>
      <c r="C391" s="27" t="s">
        <v>51</v>
      </c>
      <c r="D391" s="27" t="s">
        <v>14</v>
      </c>
      <c r="E391" s="27" t="s">
        <v>101</v>
      </c>
      <c r="F391" s="30" t="s">
        <v>67</v>
      </c>
      <c r="G391" s="28">
        <f>33290+1417+4357.8</f>
        <v>39064.800000000003</v>
      </c>
      <c r="H391" s="28">
        <f>33290+1417</f>
        <v>34707</v>
      </c>
      <c r="I391" s="28">
        <f>33290+1417</f>
        <v>34707</v>
      </c>
      <c r="J391" s="21"/>
      <c r="K391" s="116"/>
      <c r="L391" s="21"/>
      <c r="M391" s="21"/>
    </row>
    <row r="392" spans="1:15" s="29" customFormat="1" ht="25.5" x14ac:dyDescent="0.2">
      <c r="A392" s="31" t="s">
        <v>76</v>
      </c>
      <c r="B392" s="35">
        <v>915</v>
      </c>
      <c r="C392" s="27" t="s">
        <v>51</v>
      </c>
      <c r="D392" s="27" t="s">
        <v>14</v>
      </c>
      <c r="E392" s="27" t="s">
        <v>101</v>
      </c>
      <c r="F392" s="30" t="s">
        <v>68</v>
      </c>
      <c r="G392" s="28">
        <f>180+6544-2.3+100</f>
        <v>6821.7</v>
      </c>
      <c r="H392" s="28">
        <f>180+6544</f>
        <v>6724</v>
      </c>
      <c r="I392" s="28">
        <f>180+6544</f>
        <v>6724</v>
      </c>
      <c r="J392" s="9"/>
      <c r="K392" s="116"/>
      <c r="L392" s="9"/>
      <c r="M392" s="9"/>
      <c r="N392" s="9"/>
      <c r="O392" s="9"/>
    </row>
    <row r="393" spans="1:15" s="29" customFormat="1" x14ac:dyDescent="0.2">
      <c r="A393" s="31" t="s">
        <v>69</v>
      </c>
      <c r="B393" s="35">
        <v>915</v>
      </c>
      <c r="C393" s="27" t="s">
        <v>51</v>
      </c>
      <c r="D393" s="27" t="s">
        <v>14</v>
      </c>
      <c r="E393" s="27" t="s">
        <v>101</v>
      </c>
      <c r="F393" s="30" t="s">
        <v>70</v>
      </c>
      <c r="G393" s="28">
        <v>2.2999999999999998</v>
      </c>
      <c r="H393" s="28">
        <v>0</v>
      </c>
      <c r="I393" s="28">
        <v>0</v>
      </c>
      <c r="J393" s="9"/>
      <c r="K393" s="114"/>
      <c r="L393" s="9"/>
      <c r="M393" s="9"/>
      <c r="N393" s="9"/>
      <c r="O393" s="9"/>
    </row>
    <row r="394" spans="1:15" s="29" customFormat="1" x14ac:dyDescent="0.2">
      <c r="A394" s="31" t="s">
        <v>72</v>
      </c>
      <c r="B394" s="35">
        <v>915</v>
      </c>
      <c r="C394" s="27" t="s">
        <v>51</v>
      </c>
      <c r="D394" s="27" t="s">
        <v>14</v>
      </c>
      <c r="E394" s="27" t="s">
        <v>101</v>
      </c>
      <c r="F394" s="27" t="s">
        <v>73</v>
      </c>
      <c r="G394" s="28">
        <v>314</v>
      </c>
      <c r="H394" s="28">
        <v>314</v>
      </c>
      <c r="I394" s="28">
        <v>314</v>
      </c>
      <c r="J394" s="21"/>
      <c r="K394" s="114"/>
      <c r="L394" s="21"/>
      <c r="M394" s="21"/>
      <c r="N394" s="21"/>
      <c r="O394" s="21"/>
    </row>
    <row r="395" spans="1:15" ht="25.5" x14ac:dyDescent="0.2">
      <c r="A395" s="18" t="s">
        <v>276</v>
      </c>
      <c r="B395" s="22">
        <v>915</v>
      </c>
      <c r="C395" s="19" t="s">
        <v>51</v>
      </c>
      <c r="D395" s="19" t="s">
        <v>14</v>
      </c>
      <c r="E395" s="19" t="s">
        <v>350</v>
      </c>
      <c r="F395" s="19"/>
      <c r="G395" s="20">
        <f>G396+G397</f>
        <v>717.10599999999999</v>
      </c>
      <c r="H395" s="20">
        <f>H396+H397</f>
        <v>31</v>
      </c>
      <c r="I395" s="20">
        <f>I396+I397</f>
        <v>31</v>
      </c>
      <c r="K395" s="114"/>
    </row>
    <row r="396" spans="1:15" s="29" customFormat="1" ht="51.75" customHeight="1" x14ac:dyDescent="0.2">
      <c r="A396" s="34" t="s">
        <v>66</v>
      </c>
      <c r="B396" s="36">
        <v>915</v>
      </c>
      <c r="C396" s="27" t="s">
        <v>51</v>
      </c>
      <c r="D396" s="27" t="s">
        <v>14</v>
      </c>
      <c r="E396" s="27" t="s">
        <v>350</v>
      </c>
      <c r="F396" s="30" t="s">
        <v>67</v>
      </c>
      <c r="G396" s="28">
        <f>17.2</f>
        <v>17.2</v>
      </c>
      <c r="H396" s="28">
        <v>17.2</v>
      </c>
      <c r="I396" s="28">
        <v>17.2</v>
      </c>
      <c r="J396" s="21"/>
      <c r="K396" s="114"/>
      <c r="L396" s="21"/>
      <c r="M396" s="21"/>
      <c r="N396" s="21"/>
      <c r="O396" s="21"/>
    </row>
    <row r="397" spans="1:15" s="29" customFormat="1" ht="25.5" x14ac:dyDescent="0.2">
      <c r="A397" s="31" t="s">
        <v>76</v>
      </c>
      <c r="B397" s="35">
        <v>915</v>
      </c>
      <c r="C397" s="27" t="s">
        <v>51</v>
      </c>
      <c r="D397" s="27" t="s">
        <v>14</v>
      </c>
      <c r="E397" s="27" t="s">
        <v>350</v>
      </c>
      <c r="F397" s="30" t="s">
        <v>68</v>
      </c>
      <c r="G397" s="28">
        <v>699.90599999999995</v>
      </c>
      <c r="H397" s="28">
        <v>13.8</v>
      </c>
      <c r="I397" s="28">
        <v>13.8</v>
      </c>
      <c r="J397" s="21"/>
      <c r="K397" s="114"/>
      <c r="L397" s="21"/>
      <c r="M397" s="21"/>
      <c r="N397" s="21"/>
      <c r="O397" s="21"/>
    </row>
    <row r="398" spans="1:15" ht="75" customHeight="1" x14ac:dyDescent="0.2">
      <c r="A398" s="18" t="s">
        <v>282</v>
      </c>
      <c r="B398" s="22">
        <v>915</v>
      </c>
      <c r="C398" s="19" t="s">
        <v>51</v>
      </c>
      <c r="D398" s="19" t="s">
        <v>14</v>
      </c>
      <c r="E398" s="19" t="s">
        <v>119</v>
      </c>
      <c r="F398" s="19"/>
      <c r="G398" s="20">
        <f>G399</f>
        <v>153</v>
      </c>
      <c r="H398" s="20">
        <f>H399</f>
        <v>153</v>
      </c>
      <c r="I398" s="20">
        <f>I399</f>
        <v>153</v>
      </c>
      <c r="K398" s="114"/>
    </row>
    <row r="399" spans="1:15" s="29" customFormat="1" ht="50.25" customHeight="1" x14ac:dyDescent="0.2">
      <c r="A399" s="34" t="s">
        <v>66</v>
      </c>
      <c r="B399" s="35">
        <v>915</v>
      </c>
      <c r="C399" s="27" t="s">
        <v>51</v>
      </c>
      <c r="D399" s="27" t="s">
        <v>14</v>
      </c>
      <c r="E399" s="27" t="s">
        <v>119</v>
      </c>
      <c r="F399" s="27" t="s">
        <v>67</v>
      </c>
      <c r="G399" s="28">
        <v>153</v>
      </c>
      <c r="H399" s="28">
        <v>153</v>
      </c>
      <c r="I399" s="28">
        <v>153</v>
      </c>
      <c r="K399" s="114"/>
    </row>
    <row r="400" spans="1:15" s="9" customFormat="1" x14ac:dyDescent="0.2">
      <c r="A400" s="11" t="s">
        <v>55</v>
      </c>
      <c r="B400" s="14">
        <v>915</v>
      </c>
      <c r="C400" s="8" t="s">
        <v>51</v>
      </c>
      <c r="D400" s="8" t="s">
        <v>16</v>
      </c>
      <c r="E400" s="8"/>
      <c r="F400" s="8"/>
      <c r="G400" s="4">
        <f>G404+G407+G410+G413+G416+G419+G422+G425+G428+G431+G434+G437+G439+G442+G445+G448+G451+G454+G457+G401</f>
        <v>322530.69715000002</v>
      </c>
      <c r="H400" s="4">
        <f t="shared" ref="H400:I400" si="53">H404+H407+H410+H413+H416+H419+H422+H425+H428+H431+H434+H437+H439+H442+H445+H448+H451+H454+H457+H401</f>
        <v>329577.2</v>
      </c>
      <c r="I400" s="4">
        <f t="shared" si="53"/>
        <v>329937.2</v>
      </c>
      <c r="J400" s="79"/>
      <c r="K400" s="114"/>
      <c r="L400" s="29"/>
      <c r="M400" s="29"/>
      <c r="N400" s="29"/>
      <c r="O400" s="29"/>
    </row>
    <row r="401" spans="1:15" ht="40.5" customHeight="1" x14ac:dyDescent="0.2">
      <c r="A401" s="18" t="s">
        <v>277</v>
      </c>
      <c r="B401" s="18">
        <v>915</v>
      </c>
      <c r="C401" s="19" t="s">
        <v>51</v>
      </c>
      <c r="D401" s="19" t="s">
        <v>16</v>
      </c>
      <c r="E401" s="19" t="s">
        <v>118</v>
      </c>
      <c r="F401" s="19"/>
      <c r="G401" s="20">
        <f>G403+G402</f>
        <v>462</v>
      </c>
      <c r="H401" s="20">
        <f>H403+H402</f>
        <v>521</v>
      </c>
      <c r="I401" s="20">
        <f>I403+I402</f>
        <v>541</v>
      </c>
      <c r="K401" s="114"/>
      <c r="N401" s="29"/>
      <c r="O401" s="29"/>
    </row>
    <row r="402" spans="1:15" ht="25.5" x14ac:dyDescent="0.2">
      <c r="A402" s="31" t="s">
        <v>76</v>
      </c>
      <c r="B402" s="26">
        <v>915</v>
      </c>
      <c r="C402" s="27" t="s">
        <v>51</v>
      </c>
      <c r="D402" s="27" t="s">
        <v>16</v>
      </c>
      <c r="E402" s="27" t="s">
        <v>118</v>
      </c>
      <c r="F402" s="30" t="s">
        <v>68</v>
      </c>
      <c r="G402" s="28">
        <v>2.2000000000000002</v>
      </c>
      <c r="H402" s="28">
        <v>2.2000000000000002</v>
      </c>
      <c r="I402" s="28">
        <v>2.2000000000000002</v>
      </c>
      <c r="K402" s="114"/>
    </row>
    <row r="403" spans="1:15" x14ac:dyDescent="0.2">
      <c r="A403" s="31" t="s">
        <v>69</v>
      </c>
      <c r="B403" s="31">
        <v>915</v>
      </c>
      <c r="C403" s="27" t="s">
        <v>51</v>
      </c>
      <c r="D403" s="27" t="s">
        <v>16</v>
      </c>
      <c r="E403" s="27" t="s">
        <v>118</v>
      </c>
      <c r="F403" s="27" t="s">
        <v>70</v>
      </c>
      <c r="G403" s="28">
        <v>459.8</v>
      </c>
      <c r="H403" s="28">
        <v>518.79999999999995</v>
      </c>
      <c r="I403" s="28">
        <v>538.79999999999995</v>
      </c>
      <c r="J403" s="29"/>
      <c r="K403" s="114"/>
      <c r="L403" s="29"/>
      <c r="M403" s="29"/>
      <c r="N403" s="29"/>
      <c r="O403" s="29"/>
    </row>
    <row r="404" spans="1:15" ht="38.25" x14ac:dyDescent="0.2">
      <c r="A404" s="18" t="s">
        <v>278</v>
      </c>
      <c r="B404" s="22">
        <v>915</v>
      </c>
      <c r="C404" s="19" t="s">
        <v>51</v>
      </c>
      <c r="D404" s="19" t="s">
        <v>16</v>
      </c>
      <c r="E404" s="19" t="s">
        <v>103</v>
      </c>
      <c r="F404" s="19"/>
      <c r="G404" s="20">
        <f>G406+G405</f>
        <v>8638.4971500000011</v>
      </c>
      <c r="H404" s="20">
        <f>H406+H405</f>
        <v>8484</v>
      </c>
      <c r="I404" s="20">
        <f>I406+I405</f>
        <v>8824</v>
      </c>
      <c r="K404" s="114"/>
      <c r="N404" s="29"/>
      <c r="O404" s="29"/>
    </row>
    <row r="405" spans="1:15" s="29" customFormat="1" ht="25.5" x14ac:dyDescent="0.2">
      <c r="A405" s="31" t="s">
        <v>76</v>
      </c>
      <c r="B405" s="26">
        <v>915</v>
      </c>
      <c r="C405" s="27" t="s">
        <v>51</v>
      </c>
      <c r="D405" s="27" t="s">
        <v>16</v>
      </c>
      <c r="E405" s="27" t="s">
        <v>103</v>
      </c>
      <c r="F405" s="30" t="s">
        <v>68</v>
      </c>
      <c r="G405" s="28">
        <f>40+2.30283</f>
        <v>42.30283</v>
      </c>
      <c r="H405" s="28">
        <v>43</v>
      </c>
      <c r="I405" s="28">
        <v>44</v>
      </c>
      <c r="J405" s="21"/>
      <c r="K405" s="114"/>
      <c r="L405" s="21"/>
      <c r="M405" s="21"/>
      <c r="N405" s="21"/>
      <c r="O405" s="21"/>
    </row>
    <row r="406" spans="1:15" s="29" customFormat="1" x14ac:dyDescent="0.2">
      <c r="A406" s="31" t="s">
        <v>69</v>
      </c>
      <c r="B406" s="35">
        <v>915</v>
      </c>
      <c r="C406" s="27" t="s">
        <v>51</v>
      </c>
      <c r="D406" s="27" t="s">
        <v>16</v>
      </c>
      <c r="E406" s="27" t="s">
        <v>103</v>
      </c>
      <c r="F406" s="27" t="s">
        <v>70</v>
      </c>
      <c r="G406" s="28">
        <f>8166-48+478.19432</f>
        <v>8596.1943200000005</v>
      </c>
      <c r="H406" s="28">
        <f>8491-50</f>
        <v>8441</v>
      </c>
      <c r="I406" s="28">
        <f>8832-52</f>
        <v>8780</v>
      </c>
      <c r="K406" s="114"/>
    </row>
    <row r="407" spans="1:15" ht="25.5" x14ac:dyDescent="0.2">
      <c r="A407" s="18" t="s">
        <v>279</v>
      </c>
      <c r="B407" s="22">
        <v>915</v>
      </c>
      <c r="C407" s="19" t="s">
        <v>51</v>
      </c>
      <c r="D407" s="19" t="s">
        <v>16</v>
      </c>
      <c r="E407" s="19" t="s">
        <v>105</v>
      </c>
      <c r="F407" s="19"/>
      <c r="G407" s="20">
        <f>G409+G408</f>
        <v>56361</v>
      </c>
      <c r="H407" s="20">
        <f>H409+H408</f>
        <v>57502</v>
      </c>
      <c r="I407" s="20">
        <f>I409+I408</f>
        <v>57502</v>
      </c>
      <c r="K407" s="114"/>
      <c r="N407" s="29"/>
      <c r="O407" s="29"/>
    </row>
    <row r="408" spans="1:15" s="29" customFormat="1" ht="25.5" x14ac:dyDescent="0.2">
      <c r="A408" s="31" t="s">
        <v>76</v>
      </c>
      <c r="B408" s="26">
        <v>915</v>
      </c>
      <c r="C408" s="27" t="s">
        <v>51</v>
      </c>
      <c r="D408" s="27" t="s">
        <v>16</v>
      </c>
      <c r="E408" s="27" t="s">
        <v>105</v>
      </c>
      <c r="F408" s="30" t="s">
        <v>68</v>
      </c>
      <c r="G408" s="28">
        <f>561.5+146.5</f>
        <v>708</v>
      </c>
      <c r="H408" s="28">
        <f>571.5+161.5</f>
        <v>733</v>
      </c>
      <c r="I408" s="28">
        <f>571.5+161.5</f>
        <v>733</v>
      </c>
      <c r="J408" s="21"/>
      <c r="K408" s="114"/>
      <c r="L408" s="21"/>
      <c r="M408" s="21"/>
      <c r="N408" s="21"/>
      <c r="O408" s="21"/>
    </row>
    <row r="409" spans="1:15" s="29" customFormat="1" x14ac:dyDescent="0.2">
      <c r="A409" s="31" t="s">
        <v>69</v>
      </c>
      <c r="B409" s="35">
        <v>915</v>
      </c>
      <c r="C409" s="27" t="s">
        <v>51</v>
      </c>
      <c r="D409" s="27" t="s">
        <v>16</v>
      </c>
      <c r="E409" s="27" t="s">
        <v>105</v>
      </c>
      <c r="F409" s="27" t="s">
        <v>70</v>
      </c>
      <c r="G409" s="28">
        <f>55653</f>
        <v>55653</v>
      </c>
      <c r="H409" s="28">
        <v>56769</v>
      </c>
      <c r="I409" s="28">
        <v>56769</v>
      </c>
      <c r="K409" s="114"/>
    </row>
    <row r="410" spans="1:15" ht="77.25" customHeight="1" x14ac:dyDescent="0.2">
      <c r="A410" s="18" t="s">
        <v>280</v>
      </c>
      <c r="B410" s="22">
        <v>915</v>
      </c>
      <c r="C410" s="19" t="s">
        <v>51</v>
      </c>
      <c r="D410" s="19" t="s">
        <v>16</v>
      </c>
      <c r="E410" s="19" t="s">
        <v>104</v>
      </c>
      <c r="F410" s="19"/>
      <c r="G410" s="20">
        <f>G411+G412</f>
        <v>9</v>
      </c>
      <c r="H410" s="20">
        <f>H411+H412</f>
        <v>10</v>
      </c>
      <c r="I410" s="20">
        <f>I411+I412</f>
        <v>10</v>
      </c>
      <c r="K410" s="114"/>
      <c r="N410" s="29"/>
      <c r="O410" s="29"/>
    </row>
    <row r="411" spans="1:15" s="29" customFormat="1" ht="25.5" x14ac:dyDescent="0.2">
      <c r="A411" s="31" t="s">
        <v>76</v>
      </c>
      <c r="B411" s="26">
        <v>915</v>
      </c>
      <c r="C411" s="27" t="s">
        <v>51</v>
      </c>
      <c r="D411" s="27" t="s">
        <v>16</v>
      </c>
      <c r="E411" s="27" t="s">
        <v>104</v>
      </c>
      <c r="F411" s="30" t="s">
        <v>68</v>
      </c>
      <c r="G411" s="28">
        <v>0.1</v>
      </c>
      <c r="H411" s="28">
        <v>0.1</v>
      </c>
      <c r="I411" s="28">
        <v>0.1</v>
      </c>
      <c r="J411" s="21"/>
      <c r="K411" s="114"/>
      <c r="L411" s="21"/>
      <c r="M411" s="21"/>
      <c r="N411" s="21"/>
      <c r="O411" s="21"/>
    </row>
    <row r="412" spans="1:15" s="29" customFormat="1" x14ac:dyDescent="0.2">
      <c r="A412" s="31" t="s">
        <v>69</v>
      </c>
      <c r="B412" s="35">
        <v>915</v>
      </c>
      <c r="C412" s="27" t="s">
        <v>51</v>
      </c>
      <c r="D412" s="27" t="s">
        <v>16</v>
      </c>
      <c r="E412" s="27" t="s">
        <v>104</v>
      </c>
      <c r="F412" s="27" t="s">
        <v>70</v>
      </c>
      <c r="G412" s="28">
        <v>8.9</v>
      </c>
      <c r="H412" s="28">
        <v>9.9</v>
      </c>
      <c r="I412" s="28">
        <v>9.9</v>
      </c>
      <c r="K412" s="114"/>
    </row>
    <row r="413" spans="1:15" ht="63.75" x14ac:dyDescent="0.2">
      <c r="A413" s="18" t="s">
        <v>185</v>
      </c>
      <c r="B413" s="22">
        <v>915</v>
      </c>
      <c r="C413" s="19" t="s">
        <v>51</v>
      </c>
      <c r="D413" s="19" t="s">
        <v>16</v>
      </c>
      <c r="E413" s="19" t="s">
        <v>93</v>
      </c>
      <c r="F413" s="19"/>
      <c r="G413" s="20">
        <f>G415+G414</f>
        <v>26014</v>
      </c>
      <c r="H413" s="20">
        <f>H415+H414</f>
        <v>26014</v>
      </c>
      <c r="I413" s="20">
        <f>I415+I414</f>
        <v>26014</v>
      </c>
      <c r="K413" s="114"/>
      <c r="N413" s="29"/>
      <c r="O413" s="29"/>
    </row>
    <row r="414" spans="1:15" s="29" customFormat="1" ht="25.5" x14ac:dyDescent="0.2">
      <c r="A414" s="31" t="s">
        <v>76</v>
      </c>
      <c r="B414" s="26">
        <v>915</v>
      </c>
      <c r="C414" s="27" t="s">
        <v>51</v>
      </c>
      <c r="D414" s="27" t="s">
        <v>16</v>
      </c>
      <c r="E414" s="27" t="s">
        <v>93</v>
      </c>
      <c r="F414" s="30" t="s">
        <v>68</v>
      </c>
      <c r="G414" s="28">
        <f>185.1+72.2</f>
        <v>257.3</v>
      </c>
      <c r="H414" s="28">
        <f>185.1+72.2</f>
        <v>257.3</v>
      </c>
      <c r="I414" s="28">
        <f>185.1+72.2</f>
        <v>257.3</v>
      </c>
      <c r="J414" s="21"/>
      <c r="K414" s="114"/>
      <c r="L414" s="21"/>
      <c r="M414" s="21"/>
      <c r="N414" s="21"/>
      <c r="O414" s="21"/>
    </row>
    <row r="415" spans="1:15" s="29" customFormat="1" x14ac:dyDescent="0.2">
      <c r="A415" s="31" t="s">
        <v>69</v>
      </c>
      <c r="B415" s="35">
        <v>915</v>
      </c>
      <c r="C415" s="27" t="s">
        <v>51</v>
      </c>
      <c r="D415" s="27" t="s">
        <v>16</v>
      </c>
      <c r="E415" s="27" t="s">
        <v>93</v>
      </c>
      <c r="F415" s="27" t="s">
        <v>70</v>
      </c>
      <c r="G415" s="28">
        <f>24301.7+1455</f>
        <v>25756.7</v>
      </c>
      <c r="H415" s="28">
        <f>24301.7+1455</f>
        <v>25756.7</v>
      </c>
      <c r="I415" s="28">
        <f>24301.7+1455</f>
        <v>25756.7</v>
      </c>
      <c r="K415" s="114"/>
    </row>
    <row r="416" spans="1:15" ht="140.25" x14ac:dyDescent="0.2">
      <c r="A416" s="18" t="s">
        <v>342</v>
      </c>
      <c r="B416" s="22">
        <v>915</v>
      </c>
      <c r="C416" s="19" t="s">
        <v>51</v>
      </c>
      <c r="D416" s="19" t="s">
        <v>16</v>
      </c>
      <c r="E416" s="19" t="s">
        <v>94</v>
      </c>
      <c r="F416" s="19"/>
      <c r="G416" s="20">
        <f>G418+G417</f>
        <v>1612</v>
      </c>
      <c r="H416" s="20">
        <f>H418+H417</f>
        <v>1612</v>
      </c>
      <c r="I416" s="20">
        <f>I418+I417</f>
        <v>1612</v>
      </c>
      <c r="K416" s="114"/>
      <c r="N416" s="29"/>
      <c r="O416" s="29"/>
    </row>
    <row r="417" spans="1:15" s="29" customFormat="1" ht="25.5" x14ac:dyDescent="0.2">
      <c r="A417" s="31" t="s">
        <v>76</v>
      </c>
      <c r="B417" s="35">
        <v>915</v>
      </c>
      <c r="C417" s="27" t="s">
        <v>51</v>
      </c>
      <c r="D417" s="27" t="s">
        <v>16</v>
      </c>
      <c r="E417" s="27" t="s">
        <v>94</v>
      </c>
      <c r="F417" s="30" t="s">
        <v>68</v>
      </c>
      <c r="G417" s="28">
        <f>28+1.6</f>
        <v>29.6</v>
      </c>
      <c r="H417" s="28">
        <f>28+1.6</f>
        <v>29.6</v>
      </c>
      <c r="I417" s="28">
        <f>28+1.6</f>
        <v>29.6</v>
      </c>
      <c r="J417" s="21"/>
      <c r="K417" s="114"/>
      <c r="L417" s="21"/>
      <c r="M417" s="21"/>
      <c r="N417" s="21"/>
      <c r="O417" s="21"/>
    </row>
    <row r="418" spans="1:15" s="29" customFormat="1" x14ac:dyDescent="0.2">
      <c r="A418" s="31" t="s">
        <v>69</v>
      </c>
      <c r="B418" s="35">
        <v>915</v>
      </c>
      <c r="C418" s="27" t="s">
        <v>51</v>
      </c>
      <c r="D418" s="27" t="s">
        <v>16</v>
      </c>
      <c r="E418" s="27" t="s">
        <v>94</v>
      </c>
      <c r="F418" s="27" t="s">
        <v>70</v>
      </c>
      <c r="G418" s="28">
        <f>1562.4+20</f>
        <v>1582.4</v>
      </c>
      <c r="H418" s="28">
        <f>1562.4+20</f>
        <v>1582.4</v>
      </c>
      <c r="I418" s="28">
        <f>1562.4+20</f>
        <v>1582.4</v>
      </c>
      <c r="J418" s="21"/>
      <c r="K418" s="114"/>
      <c r="L418" s="21"/>
      <c r="M418" s="21"/>
      <c r="N418" s="21"/>
      <c r="O418" s="21"/>
    </row>
    <row r="419" spans="1:15" ht="76.5" customHeight="1" x14ac:dyDescent="0.2">
      <c r="A419" s="18" t="s">
        <v>186</v>
      </c>
      <c r="B419" s="22">
        <v>915</v>
      </c>
      <c r="C419" s="19" t="s">
        <v>51</v>
      </c>
      <c r="D419" s="19" t="s">
        <v>16</v>
      </c>
      <c r="E419" s="19" t="s">
        <v>95</v>
      </c>
      <c r="F419" s="19"/>
      <c r="G419" s="20">
        <f>G421+G420</f>
        <v>9182</v>
      </c>
      <c r="H419" s="20">
        <f>H421+H420</f>
        <v>9182</v>
      </c>
      <c r="I419" s="20">
        <f>I421+I420</f>
        <v>9182</v>
      </c>
      <c r="K419" s="114"/>
    </row>
    <row r="420" spans="1:15" s="29" customFormat="1" ht="25.5" x14ac:dyDescent="0.2">
      <c r="A420" s="31" t="s">
        <v>76</v>
      </c>
      <c r="B420" s="26">
        <v>915</v>
      </c>
      <c r="C420" s="27" t="s">
        <v>51</v>
      </c>
      <c r="D420" s="27" t="s">
        <v>16</v>
      </c>
      <c r="E420" s="27" t="s">
        <v>95</v>
      </c>
      <c r="F420" s="30" t="s">
        <v>68</v>
      </c>
      <c r="G420" s="28">
        <f>92.5+20.4</f>
        <v>112.9</v>
      </c>
      <c r="H420" s="28">
        <f>92.5+20.4</f>
        <v>112.9</v>
      </c>
      <c r="I420" s="28">
        <f>92.5+20.4</f>
        <v>112.9</v>
      </c>
      <c r="J420" s="21"/>
      <c r="K420" s="114"/>
      <c r="L420" s="21"/>
      <c r="M420" s="21"/>
      <c r="N420" s="21"/>
      <c r="O420" s="21"/>
    </row>
    <row r="421" spans="1:15" s="29" customFormat="1" x14ac:dyDescent="0.2">
      <c r="A421" s="31" t="s">
        <v>69</v>
      </c>
      <c r="B421" s="35">
        <v>915</v>
      </c>
      <c r="C421" s="27" t="s">
        <v>51</v>
      </c>
      <c r="D421" s="27" t="s">
        <v>16</v>
      </c>
      <c r="E421" s="27" t="s">
        <v>95</v>
      </c>
      <c r="F421" s="27" t="s">
        <v>70</v>
      </c>
      <c r="G421" s="28">
        <f>8903.1+166</f>
        <v>9069.1</v>
      </c>
      <c r="H421" s="28">
        <f>8903.1+166</f>
        <v>9069.1</v>
      </c>
      <c r="I421" s="28">
        <f>8903.1+166</f>
        <v>9069.1</v>
      </c>
      <c r="K421" s="114"/>
    </row>
    <row r="422" spans="1:15" ht="51" x14ac:dyDescent="0.2">
      <c r="A422" s="18" t="s">
        <v>260</v>
      </c>
      <c r="B422" s="22">
        <v>915</v>
      </c>
      <c r="C422" s="19" t="s">
        <v>51</v>
      </c>
      <c r="D422" s="19" t="s">
        <v>16</v>
      </c>
      <c r="E422" s="19" t="s">
        <v>109</v>
      </c>
      <c r="F422" s="19"/>
      <c r="G422" s="20">
        <f>G424+G423</f>
        <v>12816.5</v>
      </c>
      <c r="H422" s="20">
        <f>H424+H423</f>
        <v>12816.5</v>
      </c>
      <c r="I422" s="20">
        <f>I424+I423</f>
        <v>12816.5</v>
      </c>
      <c r="K422" s="114"/>
      <c r="N422" s="29"/>
      <c r="O422" s="29"/>
    </row>
    <row r="423" spans="1:15" s="29" customFormat="1" ht="25.5" x14ac:dyDescent="0.2">
      <c r="A423" s="31" t="s">
        <v>76</v>
      </c>
      <c r="B423" s="26">
        <v>915</v>
      </c>
      <c r="C423" s="27" t="s">
        <v>51</v>
      </c>
      <c r="D423" s="27" t="s">
        <v>16</v>
      </c>
      <c r="E423" s="27" t="s">
        <v>109</v>
      </c>
      <c r="F423" s="30" t="s">
        <v>68</v>
      </c>
      <c r="G423" s="28">
        <f>1+62.9</f>
        <v>63.9</v>
      </c>
      <c r="H423" s="28">
        <f>1+62.9</f>
        <v>63.9</v>
      </c>
      <c r="I423" s="28">
        <f>1+62.9</f>
        <v>63.9</v>
      </c>
      <c r="J423" s="21"/>
      <c r="K423" s="114"/>
      <c r="L423" s="21"/>
      <c r="M423" s="21"/>
      <c r="N423" s="21"/>
      <c r="O423" s="21"/>
    </row>
    <row r="424" spans="1:15" s="29" customFormat="1" x14ac:dyDescent="0.2">
      <c r="A424" s="31" t="s">
        <v>69</v>
      </c>
      <c r="B424" s="35">
        <v>915</v>
      </c>
      <c r="C424" s="27" t="s">
        <v>51</v>
      </c>
      <c r="D424" s="27" t="s">
        <v>16</v>
      </c>
      <c r="E424" s="27" t="s">
        <v>109</v>
      </c>
      <c r="F424" s="27" t="s">
        <v>70</v>
      </c>
      <c r="G424" s="28">
        <f>50+12702.6</f>
        <v>12752.6</v>
      </c>
      <c r="H424" s="28">
        <f>50+12702.6</f>
        <v>12752.6</v>
      </c>
      <c r="I424" s="28">
        <f>50+12702.6</f>
        <v>12752.6</v>
      </c>
      <c r="K424" s="114"/>
    </row>
    <row r="425" spans="1:15" ht="63.75" x14ac:dyDescent="0.2">
      <c r="A425" s="18" t="s">
        <v>187</v>
      </c>
      <c r="B425" s="22">
        <v>915</v>
      </c>
      <c r="C425" s="19" t="s">
        <v>51</v>
      </c>
      <c r="D425" s="19" t="s">
        <v>16</v>
      </c>
      <c r="E425" s="19" t="s">
        <v>96</v>
      </c>
      <c r="F425" s="19"/>
      <c r="G425" s="20">
        <f>G427+G426</f>
        <v>460.29999999999995</v>
      </c>
      <c r="H425" s="20">
        <f>H427+H426</f>
        <v>460.29999999999995</v>
      </c>
      <c r="I425" s="20">
        <f>I427+I426</f>
        <v>460.29999999999995</v>
      </c>
      <c r="J425" s="29"/>
      <c r="K425" s="114"/>
      <c r="L425" s="29"/>
      <c r="M425" s="29"/>
      <c r="N425" s="29"/>
      <c r="O425" s="29"/>
    </row>
    <row r="426" spans="1:15" s="29" customFormat="1" ht="25.5" x14ac:dyDescent="0.2">
      <c r="A426" s="31" t="s">
        <v>76</v>
      </c>
      <c r="B426" s="26">
        <v>915</v>
      </c>
      <c r="C426" s="27" t="s">
        <v>51</v>
      </c>
      <c r="D426" s="27" t="s">
        <v>16</v>
      </c>
      <c r="E426" s="27" t="s">
        <v>96</v>
      </c>
      <c r="F426" s="30" t="s">
        <v>68</v>
      </c>
      <c r="G426" s="28">
        <f>3.1+1.8</f>
        <v>4.9000000000000004</v>
      </c>
      <c r="H426" s="28">
        <f>3.1+1.8</f>
        <v>4.9000000000000004</v>
      </c>
      <c r="I426" s="28">
        <f>3.1+1.8</f>
        <v>4.9000000000000004</v>
      </c>
      <c r="J426" s="21"/>
      <c r="K426" s="114"/>
      <c r="L426" s="21"/>
      <c r="M426" s="21"/>
      <c r="N426" s="21"/>
      <c r="O426" s="21"/>
    </row>
    <row r="427" spans="1:15" s="29" customFormat="1" x14ac:dyDescent="0.2">
      <c r="A427" s="31" t="s">
        <v>69</v>
      </c>
      <c r="B427" s="35">
        <v>915</v>
      </c>
      <c r="C427" s="27" t="s">
        <v>51</v>
      </c>
      <c r="D427" s="27" t="s">
        <v>16</v>
      </c>
      <c r="E427" s="27" t="s">
        <v>96</v>
      </c>
      <c r="F427" s="27" t="s">
        <v>70</v>
      </c>
      <c r="G427" s="28">
        <f>445.4+10</f>
        <v>455.4</v>
      </c>
      <c r="H427" s="28">
        <f>445.4+10</f>
        <v>455.4</v>
      </c>
      <c r="I427" s="28">
        <f>445.4+10</f>
        <v>455.4</v>
      </c>
      <c r="K427" s="114"/>
    </row>
    <row r="428" spans="1:15" ht="63.75" x14ac:dyDescent="0.2">
      <c r="A428" s="18" t="s">
        <v>343</v>
      </c>
      <c r="B428" s="56">
        <v>915</v>
      </c>
      <c r="C428" s="19" t="s">
        <v>51</v>
      </c>
      <c r="D428" s="19" t="s">
        <v>16</v>
      </c>
      <c r="E428" s="19" t="s">
        <v>112</v>
      </c>
      <c r="F428" s="19"/>
      <c r="G428" s="20">
        <f>G430+G429</f>
        <v>10.299999999999999</v>
      </c>
      <c r="H428" s="20">
        <f>H430+H429</f>
        <v>10.299999999999999</v>
      </c>
      <c r="I428" s="20">
        <f>I430+I429</f>
        <v>10.299999999999999</v>
      </c>
      <c r="K428" s="114"/>
      <c r="N428" s="29"/>
      <c r="O428" s="29"/>
    </row>
    <row r="429" spans="1:15" s="29" customFormat="1" ht="25.5" x14ac:dyDescent="0.2">
      <c r="A429" s="31" t="s">
        <v>76</v>
      </c>
      <c r="B429" s="26">
        <v>915</v>
      </c>
      <c r="C429" s="27" t="s">
        <v>51</v>
      </c>
      <c r="D429" s="27" t="s">
        <v>16</v>
      </c>
      <c r="E429" s="27" t="s">
        <v>112</v>
      </c>
      <c r="F429" s="30" t="s">
        <v>68</v>
      </c>
      <c r="G429" s="28">
        <v>0.1</v>
      </c>
      <c r="H429" s="28">
        <v>0.1</v>
      </c>
      <c r="I429" s="28">
        <v>0.1</v>
      </c>
      <c r="J429" s="21"/>
      <c r="K429" s="114"/>
      <c r="L429" s="21"/>
      <c r="M429" s="21"/>
      <c r="N429" s="21"/>
      <c r="O429" s="21"/>
    </row>
    <row r="430" spans="1:15" s="29" customFormat="1" x14ac:dyDescent="0.2">
      <c r="A430" s="31" t="s">
        <v>69</v>
      </c>
      <c r="B430" s="35">
        <v>915</v>
      </c>
      <c r="C430" s="27" t="s">
        <v>51</v>
      </c>
      <c r="D430" s="27" t="s">
        <v>16</v>
      </c>
      <c r="E430" s="27" t="s">
        <v>112</v>
      </c>
      <c r="F430" s="27" t="s">
        <v>70</v>
      </c>
      <c r="G430" s="28">
        <v>10.199999999999999</v>
      </c>
      <c r="H430" s="28">
        <v>10.199999999999999</v>
      </c>
      <c r="I430" s="28">
        <v>10.199999999999999</v>
      </c>
      <c r="K430" s="114"/>
    </row>
    <row r="431" spans="1:15" ht="51" x14ac:dyDescent="0.2">
      <c r="A431" s="18" t="s">
        <v>188</v>
      </c>
      <c r="B431" s="22">
        <v>915</v>
      </c>
      <c r="C431" s="19" t="s">
        <v>51</v>
      </c>
      <c r="D431" s="19" t="s">
        <v>16</v>
      </c>
      <c r="E431" s="19" t="s">
        <v>97</v>
      </c>
      <c r="F431" s="19"/>
      <c r="G431" s="20">
        <f>G433+G432</f>
        <v>525.9</v>
      </c>
      <c r="H431" s="20">
        <f>H433+H432</f>
        <v>525.9</v>
      </c>
      <c r="I431" s="20">
        <f>I433+I432</f>
        <v>525.9</v>
      </c>
      <c r="K431" s="114"/>
      <c r="N431" s="29"/>
      <c r="O431" s="29"/>
    </row>
    <row r="432" spans="1:15" s="29" customFormat="1" ht="25.5" x14ac:dyDescent="0.2">
      <c r="A432" s="31" t="s">
        <v>76</v>
      </c>
      <c r="B432" s="26">
        <v>915</v>
      </c>
      <c r="C432" s="27" t="s">
        <v>51</v>
      </c>
      <c r="D432" s="27" t="s">
        <v>16</v>
      </c>
      <c r="E432" s="27" t="s">
        <v>97</v>
      </c>
      <c r="F432" s="30" t="s">
        <v>68</v>
      </c>
      <c r="G432" s="28">
        <f>7+1.5</f>
        <v>8.5</v>
      </c>
      <c r="H432" s="28">
        <f>7+1.5</f>
        <v>8.5</v>
      </c>
      <c r="I432" s="28">
        <f>7+1.5</f>
        <v>8.5</v>
      </c>
      <c r="J432" s="21"/>
      <c r="K432" s="114"/>
      <c r="L432" s="21"/>
      <c r="M432" s="21"/>
      <c r="N432" s="21"/>
      <c r="O432" s="21"/>
    </row>
    <row r="433" spans="1:15" s="29" customFormat="1" x14ac:dyDescent="0.2">
      <c r="A433" s="31" t="s">
        <v>69</v>
      </c>
      <c r="B433" s="35">
        <v>915</v>
      </c>
      <c r="C433" s="27" t="s">
        <v>51</v>
      </c>
      <c r="D433" s="27" t="s">
        <v>16</v>
      </c>
      <c r="E433" s="27" t="s">
        <v>97</v>
      </c>
      <c r="F433" s="27" t="s">
        <v>70</v>
      </c>
      <c r="G433" s="28">
        <f>477.4+40</f>
        <v>517.4</v>
      </c>
      <c r="H433" s="28">
        <f>477.4+40</f>
        <v>517.4</v>
      </c>
      <c r="I433" s="28">
        <f>477.4+40</f>
        <v>517.4</v>
      </c>
      <c r="J433" s="21"/>
      <c r="K433" s="114"/>
      <c r="L433" s="21"/>
      <c r="M433" s="21"/>
    </row>
    <row r="434" spans="1:15" ht="25.5" x14ac:dyDescent="0.2">
      <c r="A434" s="18" t="s">
        <v>281</v>
      </c>
      <c r="B434" s="22">
        <v>915</v>
      </c>
      <c r="C434" s="19" t="s">
        <v>51</v>
      </c>
      <c r="D434" s="19" t="s">
        <v>16</v>
      </c>
      <c r="E434" s="19" t="s">
        <v>107</v>
      </c>
      <c r="F434" s="19"/>
      <c r="G434" s="20">
        <f>G436+G435</f>
        <v>87047</v>
      </c>
      <c r="H434" s="20">
        <f>H436+H435</f>
        <v>93047</v>
      </c>
      <c r="I434" s="20">
        <f>I436+I435</f>
        <v>93047</v>
      </c>
      <c r="K434" s="114"/>
    </row>
    <row r="435" spans="1:15" s="29" customFormat="1" ht="25.5" x14ac:dyDescent="0.2">
      <c r="A435" s="31" t="s">
        <v>76</v>
      </c>
      <c r="B435" s="26">
        <v>915</v>
      </c>
      <c r="C435" s="27" t="s">
        <v>51</v>
      </c>
      <c r="D435" s="27" t="s">
        <v>16</v>
      </c>
      <c r="E435" s="27" t="s">
        <v>107</v>
      </c>
      <c r="F435" s="30" t="s">
        <v>68</v>
      </c>
      <c r="G435" s="28">
        <f>56+480</f>
        <v>536</v>
      </c>
      <c r="H435" s="28">
        <v>560</v>
      </c>
      <c r="I435" s="28">
        <v>560</v>
      </c>
      <c r="J435" s="21"/>
      <c r="K435" s="114"/>
      <c r="L435" s="21"/>
      <c r="M435" s="21"/>
    </row>
    <row r="436" spans="1:15" s="29" customFormat="1" x14ac:dyDescent="0.2">
      <c r="A436" s="31" t="s">
        <v>69</v>
      </c>
      <c r="B436" s="35">
        <v>915</v>
      </c>
      <c r="C436" s="27" t="s">
        <v>51</v>
      </c>
      <c r="D436" s="27" t="s">
        <v>16</v>
      </c>
      <c r="E436" s="27" t="s">
        <v>107</v>
      </c>
      <c r="F436" s="27" t="s">
        <v>70</v>
      </c>
      <c r="G436" s="28">
        <v>86511</v>
      </c>
      <c r="H436" s="28">
        <v>92487</v>
      </c>
      <c r="I436" s="28">
        <v>92487</v>
      </c>
      <c r="J436" s="21"/>
      <c r="K436" s="114"/>
      <c r="L436" s="21"/>
      <c r="M436" s="21"/>
      <c r="N436" s="21"/>
      <c r="O436" s="21"/>
    </row>
    <row r="437" spans="1:15" ht="127.5" x14ac:dyDescent="0.2">
      <c r="A437" s="18" t="s">
        <v>344</v>
      </c>
      <c r="B437" s="22">
        <v>915</v>
      </c>
      <c r="C437" s="19" t="s">
        <v>51</v>
      </c>
      <c r="D437" s="19" t="s">
        <v>16</v>
      </c>
      <c r="E437" s="19" t="s">
        <v>113</v>
      </c>
      <c r="F437" s="19"/>
      <c r="G437" s="20">
        <f>G438</f>
        <v>1.2</v>
      </c>
      <c r="H437" s="20">
        <f>H438</f>
        <v>1.2</v>
      </c>
      <c r="I437" s="20">
        <f>I438</f>
        <v>1.2</v>
      </c>
      <c r="J437" s="29"/>
      <c r="K437" s="114"/>
      <c r="L437" s="29"/>
      <c r="M437" s="29"/>
      <c r="N437" s="29"/>
      <c r="O437" s="29"/>
    </row>
    <row r="438" spans="1:15" s="29" customFormat="1" x14ac:dyDescent="0.2">
      <c r="A438" s="31" t="s">
        <v>69</v>
      </c>
      <c r="B438" s="35">
        <v>915</v>
      </c>
      <c r="C438" s="27" t="s">
        <v>51</v>
      </c>
      <c r="D438" s="27" t="s">
        <v>16</v>
      </c>
      <c r="E438" s="27" t="s">
        <v>113</v>
      </c>
      <c r="F438" s="27" t="s">
        <v>70</v>
      </c>
      <c r="G438" s="28">
        <v>1.2</v>
      </c>
      <c r="H438" s="28">
        <v>1.2</v>
      </c>
      <c r="I438" s="28">
        <v>1.2</v>
      </c>
      <c r="K438" s="114"/>
    </row>
    <row r="439" spans="1:15" ht="51" customHeight="1" x14ac:dyDescent="0.2">
      <c r="A439" s="18" t="s">
        <v>283</v>
      </c>
      <c r="B439" s="22">
        <v>915</v>
      </c>
      <c r="C439" s="19" t="s">
        <v>51</v>
      </c>
      <c r="D439" s="19" t="s">
        <v>16</v>
      </c>
      <c r="E439" s="19" t="s">
        <v>110</v>
      </c>
      <c r="F439" s="19"/>
      <c r="G439" s="20">
        <f>G441+G440</f>
        <v>3136</v>
      </c>
      <c r="H439" s="20">
        <f>H441+H440</f>
        <v>3136</v>
      </c>
      <c r="I439" s="20">
        <f>I441+I440</f>
        <v>3136</v>
      </c>
      <c r="K439" s="114"/>
      <c r="N439" s="29"/>
      <c r="O439" s="29"/>
    </row>
    <row r="440" spans="1:15" s="29" customFormat="1" ht="25.5" x14ac:dyDescent="0.2">
      <c r="A440" s="31" t="s">
        <v>76</v>
      </c>
      <c r="B440" s="26">
        <v>915</v>
      </c>
      <c r="C440" s="27" t="s">
        <v>51</v>
      </c>
      <c r="D440" s="27" t="s">
        <v>16</v>
      </c>
      <c r="E440" s="27" t="s">
        <v>110</v>
      </c>
      <c r="F440" s="30" t="s">
        <v>68</v>
      </c>
      <c r="G440" s="28">
        <v>2</v>
      </c>
      <c r="H440" s="28">
        <v>2</v>
      </c>
      <c r="I440" s="28">
        <v>2</v>
      </c>
      <c r="J440" s="21"/>
      <c r="K440" s="114"/>
      <c r="L440" s="21"/>
      <c r="M440" s="21"/>
      <c r="N440" s="21"/>
      <c r="O440" s="21"/>
    </row>
    <row r="441" spans="1:15" s="29" customFormat="1" x14ac:dyDescent="0.2">
      <c r="A441" s="31" t="s">
        <v>69</v>
      </c>
      <c r="B441" s="35">
        <v>915</v>
      </c>
      <c r="C441" s="27" t="s">
        <v>51</v>
      </c>
      <c r="D441" s="27" t="s">
        <v>16</v>
      </c>
      <c r="E441" s="27" t="s">
        <v>110</v>
      </c>
      <c r="F441" s="27" t="s">
        <v>70</v>
      </c>
      <c r="G441" s="28">
        <v>3134</v>
      </c>
      <c r="H441" s="28">
        <v>3134</v>
      </c>
      <c r="I441" s="28">
        <v>3134</v>
      </c>
      <c r="K441" s="114"/>
    </row>
    <row r="442" spans="1:15" ht="51" x14ac:dyDescent="0.2">
      <c r="A442" s="18" t="s">
        <v>345</v>
      </c>
      <c r="B442" s="22">
        <v>915</v>
      </c>
      <c r="C442" s="19" t="s">
        <v>51</v>
      </c>
      <c r="D442" s="19" t="s">
        <v>16</v>
      </c>
      <c r="E442" s="19" t="s">
        <v>116</v>
      </c>
      <c r="F442" s="19"/>
      <c r="G442" s="20">
        <f>G444+G443</f>
        <v>21361</v>
      </c>
      <c r="H442" s="20">
        <f>H444+H443</f>
        <v>21361</v>
      </c>
      <c r="I442" s="20">
        <f>I444+I443</f>
        <v>21361</v>
      </c>
      <c r="J442" s="29"/>
      <c r="K442" s="114"/>
      <c r="L442" s="29"/>
      <c r="M442" s="29"/>
      <c r="N442" s="29"/>
      <c r="O442" s="29"/>
    </row>
    <row r="443" spans="1:15" s="29" customFormat="1" ht="25.5" x14ac:dyDescent="0.2">
      <c r="A443" s="31" t="s">
        <v>76</v>
      </c>
      <c r="B443" s="26">
        <v>915</v>
      </c>
      <c r="C443" s="27" t="s">
        <v>51</v>
      </c>
      <c r="D443" s="27" t="s">
        <v>16</v>
      </c>
      <c r="E443" s="27" t="s">
        <v>116</v>
      </c>
      <c r="F443" s="30" t="s">
        <v>68</v>
      </c>
      <c r="G443" s="28">
        <f>255+45</f>
        <v>300</v>
      </c>
      <c r="H443" s="28">
        <f t="shared" ref="H443:I443" si="54">255+45</f>
        <v>300</v>
      </c>
      <c r="I443" s="28">
        <f t="shared" si="54"/>
        <v>300</v>
      </c>
      <c r="J443" s="21"/>
      <c r="K443" s="114"/>
      <c r="L443" s="21"/>
      <c r="M443" s="21"/>
      <c r="N443" s="21"/>
      <c r="O443" s="21"/>
    </row>
    <row r="444" spans="1:15" s="29" customFormat="1" x14ac:dyDescent="0.2">
      <c r="A444" s="31" t="s">
        <v>69</v>
      </c>
      <c r="B444" s="35">
        <v>915</v>
      </c>
      <c r="C444" s="27" t="s">
        <v>51</v>
      </c>
      <c r="D444" s="27" t="s">
        <v>16</v>
      </c>
      <c r="E444" s="27" t="s">
        <v>116</v>
      </c>
      <c r="F444" s="27" t="s">
        <v>70</v>
      </c>
      <c r="G444" s="28">
        <v>21061</v>
      </c>
      <c r="H444" s="28">
        <v>21061</v>
      </c>
      <c r="I444" s="28">
        <v>21061</v>
      </c>
      <c r="K444" s="114"/>
    </row>
    <row r="445" spans="1:15" ht="51" x14ac:dyDescent="0.2">
      <c r="A445" s="18" t="s">
        <v>284</v>
      </c>
      <c r="B445" s="22">
        <v>915</v>
      </c>
      <c r="C445" s="19" t="s">
        <v>51</v>
      </c>
      <c r="D445" s="19" t="s">
        <v>16</v>
      </c>
      <c r="E445" s="19" t="s">
        <v>111</v>
      </c>
      <c r="F445" s="19"/>
      <c r="G445" s="20">
        <f>G447+G446</f>
        <v>95</v>
      </c>
      <c r="H445" s="20">
        <f>H447+H446</f>
        <v>95</v>
      </c>
      <c r="I445" s="20">
        <f>I447+I446</f>
        <v>95</v>
      </c>
      <c r="K445" s="114"/>
      <c r="N445" s="29"/>
      <c r="O445" s="29"/>
    </row>
    <row r="446" spans="1:15" s="29" customFormat="1" ht="25.5" x14ac:dyDescent="0.2">
      <c r="A446" s="31" t="s">
        <v>76</v>
      </c>
      <c r="B446" s="26">
        <v>915</v>
      </c>
      <c r="C446" s="27" t="s">
        <v>51</v>
      </c>
      <c r="D446" s="27" t="s">
        <v>16</v>
      </c>
      <c r="E446" s="27" t="s">
        <v>111</v>
      </c>
      <c r="F446" s="30" t="s">
        <v>68</v>
      </c>
      <c r="G446" s="28">
        <v>1.5</v>
      </c>
      <c r="H446" s="28">
        <v>1.5</v>
      </c>
      <c r="I446" s="28">
        <v>1.5</v>
      </c>
      <c r="J446" s="21"/>
      <c r="K446" s="114"/>
      <c r="L446" s="21"/>
      <c r="M446" s="21"/>
      <c r="N446" s="21"/>
      <c r="O446" s="21"/>
    </row>
    <row r="447" spans="1:15" s="29" customFormat="1" x14ac:dyDescent="0.2">
      <c r="A447" s="31" t="s">
        <v>69</v>
      </c>
      <c r="B447" s="35">
        <v>915</v>
      </c>
      <c r="C447" s="27" t="s">
        <v>51</v>
      </c>
      <c r="D447" s="27" t="s">
        <v>16</v>
      </c>
      <c r="E447" s="27" t="s">
        <v>111</v>
      </c>
      <c r="F447" s="27" t="s">
        <v>70</v>
      </c>
      <c r="G447" s="28">
        <v>93.5</v>
      </c>
      <c r="H447" s="28">
        <v>93.5</v>
      </c>
      <c r="I447" s="28">
        <v>93.5</v>
      </c>
      <c r="K447" s="114"/>
    </row>
    <row r="448" spans="1:15" ht="76.5" x14ac:dyDescent="0.2">
      <c r="A448" s="18" t="s">
        <v>352</v>
      </c>
      <c r="B448" s="22">
        <v>915</v>
      </c>
      <c r="C448" s="19" t="s">
        <v>51</v>
      </c>
      <c r="D448" s="19" t="s">
        <v>16</v>
      </c>
      <c r="E448" s="19" t="s">
        <v>114</v>
      </c>
      <c r="F448" s="19"/>
      <c r="G448" s="20">
        <f>G450+G449</f>
        <v>1153</v>
      </c>
      <c r="H448" s="20">
        <f>H450+H449</f>
        <v>1153</v>
      </c>
      <c r="I448" s="20">
        <f>I450+I449</f>
        <v>1153</v>
      </c>
      <c r="K448" s="114"/>
      <c r="N448" s="29"/>
      <c r="O448" s="29"/>
    </row>
    <row r="449" spans="1:15" s="29" customFormat="1" ht="25.5" x14ac:dyDescent="0.2">
      <c r="A449" s="31" t="s">
        <v>76</v>
      </c>
      <c r="B449" s="26">
        <v>915</v>
      </c>
      <c r="C449" s="27" t="s">
        <v>51</v>
      </c>
      <c r="D449" s="27" t="s">
        <v>16</v>
      </c>
      <c r="E449" s="27" t="s">
        <v>114</v>
      </c>
      <c r="F449" s="30" t="s">
        <v>68</v>
      </c>
      <c r="G449" s="28">
        <f>5.5+1</f>
        <v>6.5</v>
      </c>
      <c r="H449" s="28">
        <f>5.5+1</f>
        <v>6.5</v>
      </c>
      <c r="I449" s="28">
        <f>5.5+1</f>
        <v>6.5</v>
      </c>
      <c r="J449" s="21"/>
      <c r="K449" s="114"/>
      <c r="L449" s="21"/>
      <c r="M449" s="21"/>
      <c r="N449" s="21"/>
      <c r="O449" s="21"/>
    </row>
    <row r="450" spans="1:15" s="29" customFormat="1" x14ac:dyDescent="0.2">
      <c r="A450" s="31" t="s">
        <v>69</v>
      </c>
      <c r="B450" s="35">
        <v>915</v>
      </c>
      <c r="C450" s="27" t="s">
        <v>51</v>
      </c>
      <c r="D450" s="27" t="s">
        <v>16</v>
      </c>
      <c r="E450" s="27" t="s">
        <v>114</v>
      </c>
      <c r="F450" s="27" t="s">
        <v>70</v>
      </c>
      <c r="G450" s="28">
        <f>930.5+216</f>
        <v>1146.5</v>
      </c>
      <c r="H450" s="28">
        <f>930.5+216</f>
        <v>1146.5</v>
      </c>
      <c r="I450" s="28">
        <f>930.5+216</f>
        <v>1146.5</v>
      </c>
      <c r="K450" s="114"/>
    </row>
    <row r="451" spans="1:15" ht="51" x14ac:dyDescent="0.2">
      <c r="A451" s="18" t="s">
        <v>285</v>
      </c>
      <c r="B451" s="22">
        <v>915</v>
      </c>
      <c r="C451" s="19" t="s">
        <v>51</v>
      </c>
      <c r="D451" s="19" t="s">
        <v>16</v>
      </c>
      <c r="E451" s="19" t="s">
        <v>115</v>
      </c>
      <c r="F451" s="19"/>
      <c r="G451" s="20">
        <f>G453+G452</f>
        <v>318</v>
      </c>
      <c r="H451" s="20">
        <f>H453+H452</f>
        <v>318</v>
      </c>
      <c r="I451" s="20">
        <f>I453+I452</f>
        <v>318</v>
      </c>
      <c r="K451" s="114"/>
      <c r="N451" s="29"/>
      <c r="O451" s="29"/>
    </row>
    <row r="452" spans="1:15" s="29" customFormat="1" ht="25.5" x14ac:dyDescent="0.2">
      <c r="A452" s="31" t="s">
        <v>76</v>
      </c>
      <c r="B452" s="26">
        <v>915</v>
      </c>
      <c r="C452" s="27" t="s">
        <v>51</v>
      </c>
      <c r="D452" s="27" t="s">
        <v>16</v>
      </c>
      <c r="E452" s="27" t="s">
        <v>115</v>
      </c>
      <c r="F452" s="30" t="s">
        <v>68</v>
      </c>
      <c r="G452" s="28">
        <v>6.4</v>
      </c>
      <c r="H452" s="28">
        <v>6.4</v>
      </c>
      <c r="I452" s="28">
        <v>6.4</v>
      </c>
      <c r="J452" s="21"/>
      <c r="K452" s="114"/>
      <c r="L452" s="21"/>
      <c r="M452" s="21"/>
      <c r="N452" s="21"/>
      <c r="O452" s="21"/>
    </row>
    <row r="453" spans="1:15" s="29" customFormat="1" x14ac:dyDescent="0.2">
      <c r="A453" s="31" t="s">
        <v>69</v>
      </c>
      <c r="B453" s="35">
        <v>915</v>
      </c>
      <c r="C453" s="27" t="s">
        <v>51</v>
      </c>
      <c r="D453" s="27" t="s">
        <v>16</v>
      </c>
      <c r="E453" s="27" t="s">
        <v>115</v>
      </c>
      <c r="F453" s="27" t="s">
        <v>70</v>
      </c>
      <c r="G453" s="28">
        <v>311.60000000000002</v>
      </c>
      <c r="H453" s="28">
        <v>311.60000000000002</v>
      </c>
      <c r="I453" s="28">
        <v>311.60000000000002</v>
      </c>
      <c r="K453" s="114"/>
    </row>
    <row r="454" spans="1:15" ht="89.25" customHeight="1" x14ac:dyDescent="0.2">
      <c r="A454" s="18" t="s">
        <v>347</v>
      </c>
      <c r="B454" s="22">
        <v>915</v>
      </c>
      <c r="C454" s="19" t="s">
        <v>51</v>
      </c>
      <c r="D454" s="19" t="s">
        <v>16</v>
      </c>
      <c r="E454" s="19" t="s">
        <v>117</v>
      </c>
      <c r="F454" s="19"/>
      <c r="G454" s="20">
        <f>G456+G455</f>
        <v>92351</v>
      </c>
      <c r="H454" s="20">
        <f>H456+H455</f>
        <v>92351</v>
      </c>
      <c r="I454" s="20">
        <f>I456+I455</f>
        <v>92351</v>
      </c>
      <c r="K454" s="114"/>
      <c r="N454" s="29"/>
      <c r="O454" s="29"/>
    </row>
    <row r="455" spans="1:15" s="29" customFormat="1" ht="25.5" x14ac:dyDescent="0.2">
      <c r="A455" s="31" t="s">
        <v>76</v>
      </c>
      <c r="B455" s="26">
        <v>915</v>
      </c>
      <c r="C455" s="27" t="s">
        <v>51</v>
      </c>
      <c r="D455" s="27" t="s">
        <v>16</v>
      </c>
      <c r="E455" s="27" t="s">
        <v>117</v>
      </c>
      <c r="F455" s="30" t="s">
        <v>68</v>
      </c>
      <c r="G455" s="28">
        <f>317+175+110+34+55+23+127+50+1+1.2</f>
        <v>893.2</v>
      </c>
      <c r="H455" s="28">
        <f>317+175+110+34+55+23+127+50+1+1.2</f>
        <v>893.2</v>
      </c>
      <c r="I455" s="28">
        <f>317+175+110+34+55+23+127+50+1+1.2</f>
        <v>893.2</v>
      </c>
      <c r="J455" s="9"/>
      <c r="K455" s="114"/>
      <c r="L455" s="9"/>
      <c r="M455" s="9"/>
      <c r="N455" s="9"/>
      <c r="O455" s="9"/>
    </row>
    <row r="456" spans="1:15" s="29" customFormat="1" x14ac:dyDescent="0.2">
      <c r="A456" s="31" t="s">
        <v>69</v>
      </c>
      <c r="B456" s="35">
        <v>915</v>
      </c>
      <c r="C456" s="27" t="s">
        <v>51</v>
      </c>
      <c r="D456" s="27" t="s">
        <v>16</v>
      </c>
      <c r="E456" s="27" t="s">
        <v>117</v>
      </c>
      <c r="F456" s="27" t="s">
        <v>70</v>
      </c>
      <c r="G456" s="28">
        <f>54147+12800+7500+16800.8+210</f>
        <v>91457.8</v>
      </c>
      <c r="H456" s="28">
        <f>54147+12800+7500+16800.8+210</f>
        <v>91457.8</v>
      </c>
      <c r="I456" s="28">
        <f>54147+12800+7500+16800.8+210</f>
        <v>91457.8</v>
      </c>
      <c r="J456" s="21"/>
      <c r="K456" s="114"/>
      <c r="L456" s="21"/>
      <c r="M456" s="21"/>
      <c r="N456" s="21"/>
      <c r="O456" s="21"/>
    </row>
    <row r="457" spans="1:15" ht="63.75" x14ac:dyDescent="0.2">
      <c r="A457" s="18" t="s">
        <v>286</v>
      </c>
      <c r="B457" s="22">
        <v>915</v>
      </c>
      <c r="C457" s="19" t="s">
        <v>51</v>
      </c>
      <c r="D457" s="19" t="s">
        <v>16</v>
      </c>
      <c r="E457" s="19" t="s">
        <v>92</v>
      </c>
      <c r="F457" s="19"/>
      <c r="G457" s="20">
        <f>G459+G458</f>
        <v>977</v>
      </c>
      <c r="H457" s="20">
        <f>H459+H458</f>
        <v>977</v>
      </c>
      <c r="I457" s="20">
        <f>I459+I458</f>
        <v>977</v>
      </c>
      <c r="K457" s="114"/>
      <c r="N457" s="29"/>
      <c r="O457" s="29"/>
    </row>
    <row r="458" spans="1:15" s="29" customFormat="1" ht="25.5" x14ac:dyDescent="0.2">
      <c r="A458" s="31" t="s">
        <v>76</v>
      </c>
      <c r="B458" s="26">
        <v>915</v>
      </c>
      <c r="C458" s="27" t="s">
        <v>51</v>
      </c>
      <c r="D458" s="27" t="s">
        <v>16</v>
      </c>
      <c r="E458" s="27" t="s">
        <v>92</v>
      </c>
      <c r="F458" s="30" t="s">
        <v>68</v>
      </c>
      <c r="G458" s="28">
        <v>19</v>
      </c>
      <c r="H458" s="28">
        <v>19</v>
      </c>
      <c r="I458" s="28">
        <v>19</v>
      </c>
      <c r="J458" s="21"/>
      <c r="K458" s="114"/>
      <c r="L458" s="21"/>
      <c r="M458" s="21"/>
      <c r="N458" s="21"/>
      <c r="O458" s="21"/>
    </row>
    <row r="459" spans="1:15" s="29" customFormat="1" x14ac:dyDescent="0.2">
      <c r="A459" s="31" t="s">
        <v>69</v>
      </c>
      <c r="B459" s="35">
        <v>915</v>
      </c>
      <c r="C459" s="27" t="s">
        <v>51</v>
      </c>
      <c r="D459" s="27" t="s">
        <v>16</v>
      </c>
      <c r="E459" s="27" t="s">
        <v>92</v>
      </c>
      <c r="F459" s="27" t="s">
        <v>70</v>
      </c>
      <c r="G459" s="28">
        <v>958</v>
      </c>
      <c r="H459" s="28">
        <v>958</v>
      </c>
      <c r="I459" s="28">
        <v>958</v>
      </c>
      <c r="K459" s="114"/>
    </row>
    <row r="460" spans="1:15" s="9" customFormat="1" x14ac:dyDescent="0.2">
      <c r="A460" s="11" t="s">
        <v>56</v>
      </c>
      <c r="B460" s="14">
        <v>915</v>
      </c>
      <c r="C460" s="8" t="s">
        <v>51</v>
      </c>
      <c r="D460" s="8" t="s">
        <v>18</v>
      </c>
      <c r="E460" s="8"/>
      <c r="F460" s="8"/>
      <c r="G460" s="4">
        <f>G463+G469+G473+G466+G471+G461</f>
        <v>138025</v>
      </c>
      <c r="H460" s="4">
        <f t="shared" ref="H460:I460" si="55">H463+H469+H473+H466+H471+H461</f>
        <v>117819</v>
      </c>
      <c r="I460" s="4">
        <f t="shared" si="55"/>
        <v>122587</v>
      </c>
      <c r="J460" s="21"/>
      <c r="K460" s="116"/>
      <c r="L460" s="21"/>
      <c r="M460" s="21"/>
      <c r="N460" s="21"/>
      <c r="O460" s="21"/>
    </row>
    <row r="461" spans="1:15" ht="89.25" x14ac:dyDescent="0.2">
      <c r="A461" s="18" t="s">
        <v>287</v>
      </c>
      <c r="B461" s="22">
        <v>915</v>
      </c>
      <c r="C461" s="19" t="s">
        <v>51</v>
      </c>
      <c r="D461" s="19" t="s">
        <v>18</v>
      </c>
      <c r="E461" s="19" t="s">
        <v>102</v>
      </c>
      <c r="F461" s="19"/>
      <c r="G461" s="20">
        <f>G462</f>
        <v>982</v>
      </c>
      <c r="H461" s="20">
        <f>H462</f>
        <v>1534</v>
      </c>
      <c r="I461" s="20">
        <f>I462</f>
        <v>1595</v>
      </c>
      <c r="J461" s="9"/>
      <c r="K461" s="116"/>
      <c r="L461" s="9"/>
      <c r="M461" s="9"/>
      <c r="N461" s="9"/>
      <c r="O461" s="9"/>
    </row>
    <row r="462" spans="1:15" s="29" customFormat="1" x14ac:dyDescent="0.2">
      <c r="A462" s="31" t="s">
        <v>69</v>
      </c>
      <c r="B462" s="35">
        <v>915</v>
      </c>
      <c r="C462" s="27" t="s">
        <v>51</v>
      </c>
      <c r="D462" s="27" t="s">
        <v>18</v>
      </c>
      <c r="E462" s="27" t="s">
        <v>102</v>
      </c>
      <c r="F462" s="27" t="s">
        <v>70</v>
      </c>
      <c r="G462" s="28">
        <f>1482-350-150</f>
        <v>982</v>
      </c>
      <c r="H462" s="28">
        <v>1534</v>
      </c>
      <c r="I462" s="28">
        <v>1595</v>
      </c>
      <c r="J462" s="21"/>
      <c r="K462" s="116"/>
      <c r="L462" s="21"/>
      <c r="M462" s="21"/>
      <c r="N462" s="21"/>
      <c r="O462" s="21"/>
    </row>
    <row r="463" spans="1:15" ht="38.25" x14ac:dyDescent="0.2">
      <c r="A463" s="18" t="s">
        <v>399</v>
      </c>
      <c r="B463" s="22">
        <v>915</v>
      </c>
      <c r="C463" s="19" t="s">
        <v>51</v>
      </c>
      <c r="D463" s="19" t="s">
        <v>18</v>
      </c>
      <c r="E463" s="19" t="s">
        <v>400</v>
      </c>
      <c r="F463" s="19"/>
      <c r="G463" s="20">
        <f>G465+G464</f>
        <v>6726</v>
      </c>
      <c r="H463" s="20">
        <f t="shared" ref="H463:I463" si="56">H465+H464</f>
        <v>0</v>
      </c>
      <c r="I463" s="20">
        <f t="shared" si="56"/>
        <v>0</v>
      </c>
      <c r="J463" s="9"/>
      <c r="K463" s="116"/>
      <c r="L463" s="9"/>
      <c r="M463" s="9"/>
      <c r="N463" s="9"/>
      <c r="O463" s="9"/>
    </row>
    <row r="464" spans="1:15" s="29" customFormat="1" ht="25.5" x14ac:dyDescent="0.2">
      <c r="A464" s="31" t="s">
        <v>76</v>
      </c>
      <c r="B464" s="35">
        <v>915</v>
      </c>
      <c r="C464" s="27" t="s">
        <v>51</v>
      </c>
      <c r="D464" s="27" t="s">
        <v>18</v>
      </c>
      <c r="E464" s="27" t="s">
        <v>400</v>
      </c>
      <c r="F464" s="27" t="s">
        <v>68</v>
      </c>
      <c r="G464" s="28">
        <v>29.1</v>
      </c>
      <c r="H464" s="28">
        <v>0</v>
      </c>
      <c r="I464" s="28">
        <v>0</v>
      </c>
      <c r="J464" s="21"/>
      <c r="K464" s="116"/>
      <c r="L464" s="21"/>
      <c r="M464" s="21"/>
      <c r="N464" s="21"/>
      <c r="O464" s="21"/>
    </row>
    <row r="465" spans="1:15" s="29" customFormat="1" x14ac:dyDescent="0.2">
      <c r="A465" s="31" t="s">
        <v>69</v>
      </c>
      <c r="B465" s="35">
        <v>915</v>
      </c>
      <c r="C465" s="27" t="s">
        <v>51</v>
      </c>
      <c r="D465" s="27" t="s">
        <v>18</v>
      </c>
      <c r="E465" s="27" t="s">
        <v>400</v>
      </c>
      <c r="F465" s="27" t="s">
        <v>70</v>
      </c>
      <c r="G465" s="28">
        <f>6726-29.1</f>
        <v>6696.9</v>
      </c>
      <c r="H465" s="28">
        <v>0</v>
      </c>
      <c r="I465" s="28">
        <v>0</v>
      </c>
      <c r="J465" s="21"/>
      <c r="K465" s="116"/>
      <c r="L465" s="21"/>
      <c r="M465" s="21"/>
      <c r="N465" s="21"/>
      <c r="O465" s="21"/>
    </row>
    <row r="466" spans="1:15" ht="102" x14ac:dyDescent="0.2">
      <c r="A466" s="18" t="s">
        <v>288</v>
      </c>
      <c r="B466" s="22">
        <v>915</v>
      </c>
      <c r="C466" s="19" t="s">
        <v>51</v>
      </c>
      <c r="D466" s="19" t="s">
        <v>18</v>
      </c>
      <c r="E466" s="19" t="s">
        <v>106</v>
      </c>
      <c r="F466" s="19"/>
      <c r="G466" s="20">
        <f>G468+G467</f>
        <v>55542</v>
      </c>
      <c r="H466" s="20">
        <f>H468+H467</f>
        <v>57742</v>
      </c>
      <c r="I466" s="20">
        <f>I468+I467</f>
        <v>60051</v>
      </c>
      <c r="K466" s="114"/>
      <c r="N466" s="29"/>
      <c r="O466" s="29"/>
    </row>
    <row r="467" spans="1:15" s="29" customFormat="1" ht="25.5" x14ac:dyDescent="0.2">
      <c r="A467" s="31" t="s">
        <v>76</v>
      </c>
      <c r="B467" s="26">
        <v>915</v>
      </c>
      <c r="C467" s="27" t="s">
        <v>51</v>
      </c>
      <c r="D467" s="27" t="s">
        <v>18</v>
      </c>
      <c r="E467" s="19" t="s">
        <v>106</v>
      </c>
      <c r="F467" s="30" t="s">
        <v>68</v>
      </c>
      <c r="G467" s="28">
        <v>1</v>
      </c>
      <c r="H467" s="28">
        <v>1</v>
      </c>
      <c r="I467" s="28">
        <v>1</v>
      </c>
      <c r="J467" s="21"/>
      <c r="K467" s="114"/>
      <c r="L467" s="21"/>
      <c r="M467" s="21"/>
      <c r="N467" s="21"/>
      <c r="O467" s="21"/>
    </row>
    <row r="468" spans="1:15" s="29" customFormat="1" x14ac:dyDescent="0.2">
      <c r="A468" s="31" t="s">
        <v>69</v>
      </c>
      <c r="B468" s="35">
        <v>915</v>
      </c>
      <c r="C468" s="27" t="s">
        <v>51</v>
      </c>
      <c r="D468" s="27" t="s">
        <v>18</v>
      </c>
      <c r="E468" s="19" t="s">
        <v>106</v>
      </c>
      <c r="F468" s="27" t="s">
        <v>70</v>
      </c>
      <c r="G468" s="28">
        <f>55852-311</f>
        <v>55541</v>
      </c>
      <c r="H468" s="28">
        <f>58077-336</f>
        <v>57741</v>
      </c>
      <c r="I468" s="28">
        <f>60400-350</f>
        <v>60050</v>
      </c>
      <c r="K468" s="114"/>
    </row>
    <row r="469" spans="1:15" ht="38.25" x14ac:dyDescent="0.2">
      <c r="A469" s="77" t="s">
        <v>348</v>
      </c>
      <c r="B469" s="56">
        <v>915</v>
      </c>
      <c r="C469" s="19" t="s">
        <v>51</v>
      </c>
      <c r="D469" s="19" t="s">
        <v>18</v>
      </c>
      <c r="E469" s="19" t="s">
        <v>135</v>
      </c>
      <c r="F469" s="19"/>
      <c r="G469" s="20">
        <f>G470</f>
        <v>46184</v>
      </c>
      <c r="H469" s="20">
        <f t="shared" ref="H469:I469" si="57">H470</f>
        <v>30183</v>
      </c>
      <c r="I469" s="20">
        <f t="shared" si="57"/>
        <v>32581</v>
      </c>
      <c r="K469" s="114"/>
    </row>
    <row r="470" spans="1:15" x14ac:dyDescent="0.2">
      <c r="A470" s="31" t="s">
        <v>69</v>
      </c>
      <c r="B470" s="22">
        <v>915</v>
      </c>
      <c r="C470" s="27" t="s">
        <v>51</v>
      </c>
      <c r="D470" s="27" t="s">
        <v>18</v>
      </c>
      <c r="E470" s="27" t="s">
        <v>135</v>
      </c>
      <c r="F470" s="27" t="s">
        <v>70</v>
      </c>
      <c r="G470" s="28">
        <f>29411+16626+147</f>
        <v>46184</v>
      </c>
      <c r="H470" s="28">
        <f>30033+150</f>
        <v>30183</v>
      </c>
      <c r="I470" s="28">
        <f>32419+162</f>
        <v>32581</v>
      </c>
      <c r="K470" s="114"/>
    </row>
    <row r="471" spans="1:15" ht="38.25" x14ac:dyDescent="0.2">
      <c r="A471" s="77" t="s">
        <v>348</v>
      </c>
      <c r="B471" s="56">
        <v>915</v>
      </c>
      <c r="C471" s="19" t="s">
        <v>51</v>
      </c>
      <c r="D471" s="19" t="s">
        <v>18</v>
      </c>
      <c r="E471" s="19" t="s">
        <v>394</v>
      </c>
      <c r="F471" s="19"/>
      <c r="G471" s="20">
        <f>G472</f>
        <v>231</v>
      </c>
      <c r="H471" s="20">
        <f t="shared" ref="H471:I471" si="58">H472</f>
        <v>0</v>
      </c>
      <c r="I471" s="20">
        <f t="shared" si="58"/>
        <v>0</v>
      </c>
      <c r="K471" s="114"/>
    </row>
    <row r="472" spans="1:15" s="29" customFormat="1" ht="25.5" x14ac:dyDescent="0.2">
      <c r="A472" s="31" t="s">
        <v>76</v>
      </c>
      <c r="B472" s="26">
        <v>915</v>
      </c>
      <c r="C472" s="27" t="s">
        <v>51</v>
      </c>
      <c r="D472" s="27" t="s">
        <v>18</v>
      </c>
      <c r="E472" s="27" t="s">
        <v>394</v>
      </c>
      <c r="F472" s="30" t="s">
        <v>68</v>
      </c>
      <c r="G472" s="28">
        <v>231</v>
      </c>
      <c r="H472" s="28">
        <v>0</v>
      </c>
      <c r="I472" s="28">
        <v>0</v>
      </c>
      <c r="J472" s="21"/>
      <c r="K472" s="114"/>
      <c r="L472" s="21"/>
      <c r="M472" s="21"/>
      <c r="N472" s="21"/>
    </row>
    <row r="473" spans="1:15" ht="39" customHeight="1" x14ac:dyDescent="0.2">
      <c r="A473" s="18" t="s">
        <v>346</v>
      </c>
      <c r="B473" s="22">
        <v>915</v>
      </c>
      <c r="C473" s="19" t="s">
        <v>51</v>
      </c>
      <c r="D473" s="19" t="s">
        <v>18</v>
      </c>
      <c r="E473" s="19" t="s">
        <v>108</v>
      </c>
      <c r="F473" s="19"/>
      <c r="G473" s="20">
        <f>G475+G474</f>
        <v>28360</v>
      </c>
      <c r="H473" s="20">
        <f>H475+H474</f>
        <v>28360</v>
      </c>
      <c r="I473" s="20">
        <f>I475+I474</f>
        <v>28360</v>
      </c>
      <c r="K473" s="114"/>
      <c r="N473" s="29"/>
      <c r="O473" s="29"/>
    </row>
    <row r="474" spans="1:15" s="29" customFormat="1" ht="25.5" x14ac:dyDescent="0.2">
      <c r="A474" s="31" t="s">
        <v>76</v>
      </c>
      <c r="B474" s="26">
        <v>915</v>
      </c>
      <c r="C474" s="27" t="s">
        <v>51</v>
      </c>
      <c r="D474" s="27" t="s">
        <v>18</v>
      </c>
      <c r="E474" s="27" t="s">
        <v>108</v>
      </c>
      <c r="F474" s="30" t="s">
        <v>68</v>
      </c>
      <c r="G474" s="28">
        <v>1</v>
      </c>
      <c r="H474" s="28">
        <v>1</v>
      </c>
      <c r="I474" s="28">
        <v>1</v>
      </c>
      <c r="J474" s="78"/>
      <c r="K474" s="114"/>
      <c r="L474" s="78"/>
      <c r="M474" s="21"/>
      <c r="N474" s="21"/>
      <c r="O474" s="21"/>
    </row>
    <row r="475" spans="1:15" s="29" customFormat="1" x14ac:dyDescent="0.2">
      <c r="A475" s="31" t="s">
        <v>69</v>
      </c>
      <c r="B475" s="35">
        <v>915</v>
      </c>
      <c r="C475" s="27" t="s">
        <v>51</v>
      </c>
      <c r="D475" s="27" t="s">
        <v>18</v>
      </c>
      <c r="E475" s="27" t="s">
        <v>108</v>
      </c>
      <c r="F475" s="27" t="s">
        <v>70</v>
      </c>
      <c r="G475" s="28">
        <v>28359</v>
      </c>
      <c r="H475" s="28">
        <v>28359</v>
      </c>
      <c r="I475" s="28">
        <v>28359</v>
      </c>
      <c r="J475" s="78"/>
      <c r="K475" s="114"/>
      <c r="L475" s="78"/>
    </row>
    <row r="476" spans="1:15" s="9" customFormat="1" x14ac:dyDescent="0.2">
      <c r="A476" s="11" t="s">
        <v>57</v>
      </c>
      <c r="B476" s="14">
        <v>915</v>
      </c>
      <c r="C476" s="8" t="s">
        <v>51</v>
      </c>
      <c r="D476" s="8" t="s">
        <v>50</v>
      </c>
      <c r="E476" s="8"/>
      <c r="F476" s="8"/>
      <c r="G476" s="4">
        <f>G477+G480+G484+G482+G488</f>
        <v>25082.400000000001</v>
      </c>
      <c r="H476" s="4">
        <f>H477+H480+H484+H482+H488</f>
        <v>22618.400000000001</v>
      </c>
      <c r="I476" s="4">
        <f>I477+I480+I484+I482+I488</f>
        <v>22618.400000000001</v>
      </c>
      <c r="J476" s="21"/>
      <c r="K476" s="116"/>
      <c r="L476" s="21"/>
      <c r="M476" s="21"/>
      <c r="N476" s="29"/>
      <c r="O476" s="29"/>
    </row>
    <row r="477" spans="1:15" x14ac:dyDescent="0.2">
      <c r="A477" s="18" t="s">
        <v>289</v>
      </c>
      <c r="B477" s="22">
        <v>915</v>
      </c>
      <c r="C477" s="19" t="s">
        <v>51</v>
      </c>
      <c r="D477" s="19" t="s">
        <v>50</v>
      </c>
      <c r="E477" s="19" t="s">
        <v>290</v>
      </c>
      <c r="F477" s="19"/>
      <c r="G477" s="20">
        <f>G478+G479</f>
        <v>1395.6</v>
      </c>
      <c r="H477" s="20">
        <f>H478+H479</f>
        <v>1338.4</v>
      </c>
      <c r="I477" s="20">
        <f>I478+I479</f>
        <v>1338.4</v>
      </c>
      <c r="K477" s="116"/>
    </row>
    <row r="478" spans="1:15" s="29" customFormat="1" ht="25.5" x14ac:dyDescent="0.2">
      <c r="A478" s="31" t="s">
        <v>76</v>
      </c>
      <c r="B478" s="35">
        <v>915</v>
      </c>
      <c r="C478" s="27" t="s">
        <v>51</v>
      </c>
      <c r="D478" s="27" t="s">
        <v>50</v>
      </c>
      <c r="E478" s="27" t="s">
        <v>290</v>
      </c>
      <c r="F478" s="27" t="s">
        <v>68</v>
      </c>
      <c r="G478" s="28">
        <f>2.2+80+325.2+450+20+57.2</f>
        <v>934.6</v>
      </c>
      <c r="H478" s="28">
        <f>2.2+80+325.2+450+20</f>
        <v>877.4</v>
      </c>
      <c r="I478" s="28">
        <f>2.2+80+325.2+450+20</f>
        <v>877.4</v>
      </c>
      <c r="K478" s="116"/>
      <c r="M478" s="21"/>
    </row>
    <row r="479" spans="1:15" x14ac:dyDescent="0.2">
      <c r="A479" s="31" t="s">
        <v>69</v>
      </c>
      <c r="B479" s="26">
        <v>915</v>
      </c>
      <c r="C479" s="27" t="s">
        <v>51</v>
      </c>
      <c r="D479" s="27" t="s">
        <v>50</v>
      </c>
      <c r="E479" s="27" t="s">
        <v>290</v>
      </c>
      <c r="F479" s="30" t="s">
        <v>70</v>
      </c>
      <c r="G479" s="28">
        <f>429+32</f>
        <v>461</v>
      </c>
      <c r="H479" s="28">
        <f>429+32</f>
        <v>461</v>
      </c>
      <c r="I479" s="28">
        <f>429+32</f>
        <v>461</v>
      </c>
      <c r="K479" s="114"/>
      <c r="N479" s="29"/>
      <c r="O479" s="29"/>
    </row>
    <row r="480" spans="1:15" x14ac:dyDescent="0.2">
      <c r="A480" s="18" t="s">
        <v>291</v>
      </c>
      <c r="B480" s="22">
        <v>915</v>
      </c>
      <c r="C480" s="19" t="s">
        <v>51</v>
      </c>
      <c r="D480" s="19" t="s">
        <v>50</v>
      </c>
      <c r="E480" s="19" t="s">
        <v>292</v>
      </c>
      <c r="F480" s="19"/>
      <c r="G480" s="20">
        <f>G481</f>
        <v>857.9</v>
      </c>
      <c r="H480" s="20">
        <f>H481</f>
        <v>818</v>
      </c>
      <c r="I480" s="20">
        <f>I481</f>
        <v>818</v>
      </c>
      <c r="K480" s="116"/>
      <c r="N480" s="29"/>
      <c r="O480" s="29"/>
    </row>
    <row r="481" spans="1:15" s="29" customFormat="1" ht="25.5" x14ac:dyDescent="0.2">
      <c r="A481" s="31" t="s">
        <v>144</v>
      </c>
      <c r="B481" s="35">
        <v>915</v>
      </c>
      <c r="C481" s="27" t="s">
        <v>51</v>
      </c>
      <c r="D481" s="27" t="s">
        <v>50</v>
      </c>
      <c r="E481" s="27" t="s">
        <v>292</v>
      </c>
      <c r="F481" s="27" t="s">
        <v>65</v>
      </c>
      <c r="G481" s="28">
        <f>818+39.9</f>
        <v>857.9</v>
      </c>
      <c r="H481" s="28">
        <v>818</v>
      </c>
      <c r="I481" s="28">
        <v>818</v>
      </c>
      <c r="J481" s="9"/>
      <c r="K481" s="116"/>
      <c r="L481" s="9"/>
      <c r="M481" s="9"/>
      <c r="N481" s="9"/>
      <c r="O481" s="9"/>
    </row>
    <row r="482" spans="1:15" x14ac:dyDescent="0.2">
      <c r="A482" s="18" t="s">
        <v>332</v>
      </c>
      <c r="B482" s="22">
        <v>915</v>
      </c>
      <c r="C482" s="19" t="s">
        <v>51</v>
      </c>
      <c r="D482" s="19" t="s">
        <v>50</v>
      </c>
      <c r="E482" s="19" t="s">
        <v>333</v>
      </c>
      <c r="F482" s="19"/>
      <c r="G482" s="20">
        <f>G483</f>
        <v>352.9</v>
      </c>
      <c r="H482" s="20">
        <f>H483</f>
        <v>450</v>
      </c>
      <c r="I482" s="20">
        <f>I483</f>
        <v>450</v>
      </c>
      <c r="K482" s="116"/>
    </row>
    <row r="483" spans="1:15" s="29" customFormat="1" ht="25.5" x14ac:dyDescent="0.2">
      <c r="A483" s="31" t="s">
        <v>76</v>
      </c>
      <c r="B483" s="35">
        <v>915</v>
      </c>
      <c r="C483" s="27" t="s">
        <v>51</v>
      </c>
      <c r="D483" s="27" t="s">
        <v>50</v>
      </c>
      <c r="E483" s="27" t="s">
        <v>333</v>
      </c>
      <c r="F483" s="27" t="s">
        <v>68</v>
      </c>
      <c r="G483" s="28">
        <f>450-97.1</f>
        <v>352.9</v>
      </c>
      <c r="H483" s="28">
        <v>450</v>
      </c>
      <c r="I483" s="28">
        <v>450</v>
      </c>
      <c r="K483" s="116"/>
      <c r="M483" s="21"/>
    </row>
    <row r="484" spans="1:15" ht="38.25" x14ac:dyDescent="0.2">
      <c r="A484" s="18" t="s">
        <v>293</v>
      </c>
      <c r="B484" s="22">
        <v>915</v>
      </c>
      <c r="C484" s="19" t="s">
        <v>51</v>
      </c>
      <c r="D484" s="19" t="s">
        <v>50</v>
      </c>
      <c r="E484" s="19" t="s">
        <v>100</v>
      </c>
      <c r="F484" s="19"/>
      <c r="G484" s="20">
        <f>G485+G486+G487</f>
        <v>22247</v>
      </c>
      <c r="H484" s="20">
        <f>H485+H486+H487</f>
        <v>19783</v>
      </c>
      <c r="I484" s="20">
        <f>I485+I486+I487</f>
        <v>19783</v>
      </c>
      <c r="J484" s="3"/>
      <c r="K484" s="116"/>
      <c r="L484" s="3"/>
      <c r="M484" s="3"/>
      <c r="N484" s="3"/>
      <c r="O484" s="3"/>
    </row>
    <row r="485" spans="1:15" s="29" customFormat="1" ht="51.75" customHeight="1" x14ac:dyDescent="0.2">
      <c r="A485" s="26" t="s">
        <v>66</v>
      </c>
      <c r="B485" s="35">
        <v>915</v>
      </c>
      <c r="C485" s="27" t="s">
        <v>51</v>
      </c>
      <c r="D485" s="27" t="s">
        <v>50</v>
      </c>
      <c r="E485" s="27" t="s">
        <v>100</v>
      </c>
      <c r="F485" s="30" t="s">
        <v>67</v>
      </c>
      <c r="G485" s="28">
        <f>18510.7+178+2464</f>
        <v>21152.7</v>
      </c>
      <c r="H485" s="28">
        <f>18510.7+178</f>
        <v>18688.7</v>
      </c>
      <c r="I485" s="28">
        <f>18510.7+178</f>
        <v>18688.7</v>
      </c>
      <c r="J485" s="9"/>
      <c r="K485" s="116"/>
      <c r="L485" s="9"/>
      <c r="M485" s="9"/>
      <c r="N485" s="9"/>
      <c r="O485" s="9"/>
    </row>
    <row r="486" spans="1:15" s="29" customFormat="1" ht="25.5" x14ac:dyDescent="0.2">
      <c r="A486" s="31" t="s">
        <v>76</v>
      </c>
      <c r="B486" s="35">
        <v>915</v>
      </c>
      <c r="C486" s="27" t="s">
        <v>51</v>
      </c>
      <c r="D486" s="27" t="s">
        <v>50</v>
      </c>
      <c r="E486" s="27" t="s">
        <v>100</v>
      </c>
      <c r="F486" s="30" t="s">
        <v>68</v>
      </c>
      <c r="G486" s="28">
        <f>1090.3-7</f>
        <v>1083.3</v>
      </c>
      <c r="H486" s="28">
        <v>1090.3</v>
      </c>
      <c r="I486" s="28">
        <v>1090.3</v>
      </c>
      <c r="J486" s="7"/>
      <c r="K486" s="116"/>
      <c r="L486" s="7"/>
      <c r="M486" s="7"/>
      <c r="N486" s="7"/>
      <c r="O486" s="7"/>
    </row>
    <row r="487" spans="1:15" s="29" customFormat="1" x14ac:dyDescent="0.2">
      <c r="A487" s="31" t="s">
        <v>72</v>
      </c>
      <c r="B487" s="35">
        <v>915</v>
      </c>
      <c r="C487" s="27" t="s">
        <v>51</v>
      </c>
      <c r="D487" s="27" t="s">
        <v>50</v>
      </c>
      <c r="E487" s="27" t="s">
        <v>100</v>
      </c>
      <c r="F487" s="27" t="s">
        <v>73</v>
      </c>
      <c r="G487" s="28">
        <f>4+7</f>
        <v>11</v>
      </c>
      <c r="H487" s="28">
        <v>4</v>
      </c>
      <c r="I487" s="28">
        <v>4</v>
      </c>
      <c r="J487" s="21"/>
      <c r="K487" s="116"/>
      <c r="L487" s="21"/>
      <c r="M487" s="21"/>
    </row>
    <row r="488" spans="1:15" x14ac:dyDescent="0.2">
      <c r="A488" s="18" t="s">
        <v>182</v>
      </c>
      <c r="B488" s="18">
        <v>915</v>
      </c>
      <c r="C488" s="19" t="s">
        <v>51</v>
      </c>
      <c r="D488" s="19" t="s">
        <v>50</v>
      </c>
      <c r="E488" s="16" t="s">
        <v>183</v>
      </c>
      <c r="F488" s="19"/>
      <c r="G488" s="4">
        <f>G489+G490</f>
        <v>229</v>
      </c>
      <c r="H488" s="4">
        <f>H489+H490</f>
        <v>229</v>
      </c>
      <c r="I488" s="4">
        <f>I489+I490</f>
        <v>229</v>
      </c>
      <c r="K488" s="114"/>
    </row>
    <row r="489" spans="1:15" ht="25.5" x14ac:dyDescent="0.2">
      <c r="A489" s="31" t="s">
        <v>76</v>
      </c>
      <c r="B489" s="18">
        <v>915</v>
      </c>
      <c r="C489" s="27" t="s">
        <v>51</v>
      </c>
      <c r="D489" s="27" t="s">
        <v>50</v>
      </c>
      <c r="E489" s="27" t="s">
        <v>183</v>
      </c>
      <c r="F489" s="27" t="s">
        <v>68</v>
      </c>
      <c r="G489" s="20">
        <v>129</v>
      </c>
      <c r="H489" s="20">
        <v>129</v>
      </c>
      <c r="I489" s="20">
        <v>129</v>
      </c>
      <c r="K489" s="114"/>
    </row>
    <row r="490" spans="1:15" x14ac:dyDescent="0.2">
      <c r="A490" s="31" t="s">
        <v>69</v>
      </c>
      <c r="B490" s="18">
        <v>915</v>
      </c>
      <c r="C490" s="27" t="s">
        <v>51</v>
      </c>
      <c r="D490" s="27" t="s">
        <v>50</v>
      </c>
      <c r="E490" s="27" t="s">
        <v>183</v>
      </c>
      <c r="F490" s="27" t="s">
        <v>70</v>
      </c>
      <c r="G490" s="20">
        <v>100</v>
      </c>
      <c r="H490" s="20">
        <v>100</v>
      </c>
      <c r="I490" s="20">
        <v>100</v>
      </c>
      <c r="K490" s="114"/>
    </row>
    <row r="491" spans="1:15" s="9" customFormat="1" ht="30.75" customHeight="1" x14ac:dyDescent="0.2">
      <c r="A491" s="47" t="s">
        <v>48</v>
      </c>
      <c r="B491" s="44">
        <v>919</v>
      </c>
      <c r="C491" s="48"/>
      <c r="D491" s="48"/>
      <c r="E491" s="48"/>
      <c r="F491" s="48"/>
      <c r="G491" s="46">
        <f>G496+G511+G560+G492</f>
        <v>481462.53542999999</v>
      </c>
      <c r="H491" s="46">
        <f t="shared" ref="H491:I491" si="59">H496+H511+H560+H492</f>
        <v>106172.5</v>
      </c>
      <c r="I491" s="46">
        <f t="shared" si="59"/>
        <v>85014.800000000017</v>
      </c>
      <c r="K491" s="114"/>
    </row>
    <row r="492" spans="1:15" s="3" customFormat="1" ht="25.5" x14ac:dyDescent="0.2">
      <c r="A492" s="13" t="s">
        <v>5</v>
      </c>
      <c r="B492" s="49">
        <v>919</v>
      </c>
      <c r="C492" s="1" t="s">
        <v>16</v>
      </c>
      <c r="D492" s="1"/>
      <c r="E492" s="1"/>
      <c r="F492" s="1"/>
      <c r="G492" s="2">
        <f t="shared" ref="G492:I494" si="60">G493</f>
        <v>2581.9</v>
      </c>
      <c r="H492" s="2">
        <f t="shared" si="60"/>
        <v>2070.6</v>
      </c>
      <c r="I492" s="2">
        <f t="shared" si="60"/>
        <v>2070.6</v>
      </c>
      <c r="K492" s="116"/>
    </row>
    <row r="493" spans="1:15" s="9" customFormat="1" ht="38.25" x14ac:dyDescent="0.2">
      <c r="A493" s="11" t="s">
        <v>81</v>
      </c>
      <c r="B493" s="14">
        <v>919</v>
      </c>
      <c r="C493" s="8" t="s">
        <v>16</v>
      </c>
      <c r="D493" s="8" t="s">
        <v>26</v>
      </c>
      <c r="E493" s="8"/>
      <c r="F493" s="8"/>
      <c r="G493" s="4">
        <f t="shared" si="60"/>
        <v>2581.9</v>
      </c>
      <c r="H493" s="4">
        <f t="shared" si="60"/>
        <v>2070.6</v>
      </c>
      <c r="I493" s="4">
        <f t="shared" si="60"/>
        <v>2070.6</v>
      </c>
      <c r="K493" s="116"/>
    </row>
    <row r="494" spans="1:15" s="29" customFormat="1" x14ac:dyDescent="0.2">
      <c r="A494" s="69" t="s">
        <v>163</v>
      </c>
      <c r="B494" s="69">
        <v>919</v>
      </c>
      <c r="C494" s="19" t="s">
        <v>16</v>
      </c>
      <c r="D494" s="19" t="s">
        <v>26</v>
      </c>
      <c r="E494" s="19" t="s">
        <v>164</v>
      </c>
      <c r="F494" s="19"/>
      <c r="G494" s="20">
        <f t="shared" si="60"/>
        <v>2581.9</v>
      </c>
      <c r="H494" s="20">
        <f t="shared" si="60"/>
        <v>2070.6</v>
      </c>
      <c r="I494" s="20">
        <f t="shared" si="60"/>
        <v>2070.6</v>
      </c>
      <c r="K494" s="116"/>
    </row>
    <row r="495" spans="1:15" s="29" customFormat="1" ht="25.5" x14ac:dyDescent="0.2">
      <c r="A495" s="31" t="s">
        <v>144</v>
      </c>
      <c r="B495" s="26">
        <v>919</v>
      </c>
      <c r="C495" s="27" t="s">
        <v>16</v>
      </c>
      <c r="D495" s="27" t="s">
        <v>26</v>
      </c>
      <c r="E495" s="27" t="s">
        <v>164</v>
      </c>
      <c r="F495" s="30" t="s">
        <v>65</v>
      </c>
      <c r="G495" s="28">
        <f>2054.4+16.2+212.6+284.8+13.9</f>
        <v>2581.9</v>
      </c>
      <c r="H495" s="28">
        <f>2054.4+16.2</f>
        <v>2070.6</v>
      </c>
      <c r="I495" s="28">
        <f>2054.4+16.2</f>
        <v>2070.6</v>
      </c>
      <c r="K495" s="116"/>
    </row>
    <row r="496" spans="1:15" s="105" customFormat="1" x14ac:dyDescent="0.2">
      <c r="A496" s="101" t="s">
        <v>27</v>
      </c>
      <c r="B496" s="102">
        <v>919</v>
      </c>
      <c r="C496" s="103" t="s">
        <v>18</v>
      </c>
      <c r="D496" s="103"/>
      <c r="E496" s="103"/>
      <c r="F496" s="103"/>
      <c r="G496" s="104">
        <f>G497+G500</f>
        <v>245697.1</v>
      </c>
      <c r="H496" s="104">
        <f>H497+H500</f>
        <v>62634</v>
      </c>
      <c r="I496" s="104">
        <f>I497+I500</f>
        <v>42048.3</v>
      </c>
      <c r="J496" s="117"/>
      <c r="K496" s="115"/>
      <c r="L496" s="117"/>
      <c r="M496" s="95"/>
      <c r="N496" s="95"/>
      <c r="O496" s="95"/>
    </row>
    <row r="497" spans="1:15" s="9" customFormat="1" x14ac:dyDescent="0.2">
      <c r="A497" s="11" t="s">
        <v>28</v>
      </c>
      <c r="B497" s="14">
        <v>919</v>
      </c>
      <c r="C497" s="8" t="s">
        <v>18</v>
      </c>
      <c r="D497" s="8" t="s">
        <v>14</v>
      </c>
      <c r="E497" s="8"/>
      <c r="F497" s="8"/>
      <c r="G497" s="4">
        <f t="shared" ref="G497:I498" si="61">G498</f>
        <v>45951.600000000006</v>
      </c>
      <c r="H497" s="4">
        <f t="shared" si="61"/>
        <v>0</v>
      </c>
      <c r="I497" s="4">
        <f t="shared" si="61"/>
        <v>0</v>
      </c>
      <c r="J497" s="29"/>
      <c r="K497" s="116"/>
      <c r="L497" s="29"/>
      <c r="M497" s="29"/>
      <c r="N497" s="29"/>
      <c r="O497" s="29"/>
    </row>
    <row r="498" spans="1:15" ht="38.25" x14ac:dyDescent="0.2">
      <c r="A498" s="18" t="s">
        <v>381</v>
      </c>
      <c r="B498" s="22">
        <v>919</v>
      </c>
      <c r="C498" s="19" t="s">
        <v>18</v>
      </c>
      <c r="D498" s="19" t="s">
        <v>14</v>
      </c>
      <c r="E498" s="19" t="s">
        <v>298</v>
      </c>
      <c r="F498" s="19"/>
      <c r="G498" s="20">
        <f t="shared" si="61"/>
        <v>45951.600000000006</v>
      </c>
      <c r="H498" s="20">
        <f t="shared" si="61"/>
        <v>0</v>
      </c>
      <c r="I498" s="20">
        <f t="shared" si="61"/>
        <v>0</v>
      </c>
      <c r="J498" s="3"/>
      <c r="K498" s="116"/>
      <c r="L498" s="3"/>
      <c r="M498" s="3"/>
      <c r="N498" s="3"/>
      <c r="O498" s="3"/>
    </row>
    <row r="499" spans="1:15" s="29" customFormat="1" x14ac:dyDescent="0.2">
      <c r="A499" s="31" t="s">
        <v>72</v>
      </c>
      <c r="B499" s="35">
        <v>919</v>
      </c>
      <c r="C499" s="27" t="s">
        <v>18</v>
      </c>
      <c r="D499" s="27" t="s">
        <v>14</v>
      </c>
      <c r="E499" s="27" t="s">
        <v>298</v>
      </c>
      <c r="F499" s="27" t="s">
        <v>73</v>
      </c>
      <c r="G499" s="28">
        <f>34883.8+11067.8</f>
        <v>45951.600000000006</v>
      </c>
      <c r="H499" s="28"/>
      <c r="I499" s="28"/>
      <c r="J499" s="9"/>
      <c r="K499" s="116"/>
      <c r="L499" s="9"/>
      <c r="M499" s="9"/>
      <c r="N499" s="9"/>
      <c r="O499" s="9"/>
    </row>
    <row r="500" spans="1:15" s="110" customFormat="1" x14ac:dyDescent="0.2">
      <c r="A500" s="106" t="s">
        <v>79</v>
      </c>
      <c r="B500" s="107">
        <v>919</v>
      </c>
      <c r="C500" s="108" t="s">
        <v>18</v>
      </c>
      <c r="D500" s="108" t="s">
        <v>26</v>
      </c>
      <c r="E500" s="108"/>
      <c r="F500" s="108"/>
      <c r="G500" s="109">
        <f>G509+G505+G507+G503+G501</f>
        <v>199745.5</v>
      </c>
      <c r="H500" s="109">
        <f t="shared" ref="H500:I500" si="62">H509+H505+H507+H503</f>
        <v>62634</v>
      </c>
      <c r="I500" s="109">
        <f t="shared" si="62"/>
        <v>42048.3</v>
      </c>
      <c r="J500" s="95"/>
      <c r="K500" s="115"/>
      <c r="L500" s="95"/>
      <c r="M500" s="95"/>
      <c r="N500" s="95"/>
      <c r="O500" s="95"/>
    </row>
    <row r="501" spans="1:15" s="95" customFormat="1" ht="69" customHeight="1" x14ac:dyDescent="0.2">
      <c r="A501" s="91" t="s">
        <v>406</v>
      </c>
      <c r="B501" s="92">
        <v>919</v>
      </c>
      <c r="C501" s="93" t="s">
        <v>18</v>
      </c>
      <c r="D501" s="93" t="s">
        <v>26</v>
      </c>
      <c r="E501" s="93" t="s">
        <v>407</v>
      </c>
      <c r="F501" s="93"/>
      <c r="G501" s="94">
        <f>G502</f>
        <v>85000</v>
      </c>
      <c r="H501" s="94">
        <f>H502</f>
        <v>0</v>
      </c>
      <c r="I501" s="94">
        <f>I502</f>
        <v>0</v>
      </c>
      <c r="K501" s="115"/>
      <c r="N501" s="100"/>
      <c r="O501" s="100"/>
    </row>
    <row r="502" spans="1:15" s="100" customFormat="1" ht="25.5" x14ac:dyDescent="0.2">
      <c r="A502" s="96" t="s">
        <v>144</v>
      </c>
      <c r="B502" s="97">
        <v>919</v>
      </c>
      <c r="C502" s="98" t="s">
        <v>18</v>
      </c>
      <c r="D502" s="98" t="s">
        <v>26</v>
      </c>
      <c r="E502" s="98" t="s">
        <v>407</v>
      </c>
      <c r="F502" s="98" t="s">
        <v>65</v>
      </c>
      <c r="G502" s="99">
        <f>30000+55000</f>
        <v>85000</v>
      </c>
      <c r="H502" s="99">
        <v>0</v>
      </c>
      <c r="I502" s="99">
        <v>0</v>
      </c>
      <c r="J502" s="95"/>
      <c r="K502" s="115"/>
      <c r="L502" s="95"/>
      <c r="M502" s="95"/>
      <c r="N502" s="95"/>
      <c r="O502" s="95"/>
    </row>
    <row r="503" spans="1:15" ht="69" customHeight="1" x14ac:dyDescent="0.2">
      <c r="A503" s="18" t="s">
        <v>406</v>
      </c>
      <c r="B503" s="22">
        <v>919</v>
      </c>
      <c r="C503" s="19" t="s">
        <v>18</v>
      </c>
      <c r="D503" s="19" t="s">
        <v>26</v>
      </c>
      <c r="E503" s="19" t="s">
        <v>410</v>
      </c>
      <c r="F503" s="19"/>
      <c r="G503" s="20">
        <f>G504</f>
        <v>1500</v>
      </c>
      <c r="H503" s="20">
        <f>H504</f>
        <v>0</v>
      </c>
      <c r="I503" s="20">
        <f>I504</f>
        <v>0</v>
      </c>
      <c r="K503" s="114"/>
      <c r="N503" s="29"/>
      <c r="O503" s="29"/>
    </row>
    <row r="504" spans="1:15" s="29" customFormat="1" ht="25.5" x14ac:dyDescent="0.2">
      <c r="A504" s="31" t="s">
        <v>144</v>
      </c>
      <c r="B504" s="35">
        <v>919</v>
      </c>
      <c r="C504" s="27" t="s">
        <v>18</v>
      </c>
      <c r="D504" s="27" t="s">
        <v>26</v>
      </c>
      <c r="E504" s="27" t="s">
        <v>410</v>
      </c>
      <c r="F504" s="27" t="s">
        <v>65</v>
      </c>
      <c r="G504" s="28">
        <v>1500</v>
      </c>
      <c r="H504" s="28">
        <v>0</v>
      </c>
      <c r="I504" s="28">
        <v>0</v>
      </c>
      <c r="J504" s="21"/>
      <c r="K504" s="114"/>
      <c r="L504" s="21"/>
      <c r="M504" s="21"/>
      <c r="N504" s="21"/>
      <c r="O504" s="21"/>
    </row>
    <row r="505" spans="1:15" ht="25.5" x14ac:dyDescent="0.2">
      <c r="A505" s="18" t="s">
        <v>300</v>
      </c>
      <c r="B505" s="22">
        <v>919</v>
      </c>
      <c r="C505" s="19" t="s">
        <v>18</v>
      </c>
      <c r="D505" s="19" t="s">
        <v>26</v>
      </c>
      <c r="E505" s="19" t="s">
        <v>299</v>
      </c>
      <c r="F505" s="19"/>
      <c r="G505" s="20">
        <f>G506</f>
        <v>104581.6</v>
      </c>
      <c r="H505" s="20">
        <f>H506</f>
        <v>53970.1</v>
      </c>
      <c r="I505" s="20">
        <f>I506</f>
        <v>33384.400000000001</v>
      </c>
      <c r="K505" s="116"/>
      <c r="N505" s="29"/>
      <c r="O505" s="29"/>
    </row>
    <row r="506" spans="1:15" s="29" customFormat="1" ht="25.5" x14ac:dyDescent="0.2">
      <c r="A506" s="31" t="s">
        <v>144</v>
      </c>
      <c r="B506" s="35">
        <v>919</v>
      </c>
      <c r="C506" s="27" t="s">
        <v>18</v>
      </c>
      <c r="D506" s="27" t="s">
        <v>26</v>
      </c>
      <c r="E506" s="27" t="s">
        <v>299</v>
      </c>
      <c r="F506" s="27" t="s">
        <v>65</v>
      </c>
      <c r="G506" s="28">
        <f>73107+5000+26700-225.4</f>
        <v>104581.6</v>
      </c>
      <c r="H506" s="28">
        <f>73107-19136.9</f>
        <v>53970.1</v>
      </c>
      <c r="I506" s="28">
        <f>73107-39722.6</f>
        <v>33384.400000000001</v>
      </c>
      <c r="J506" s="21"/>
      <c r="K506" s="116"/>
      <c r="L506" s="21"/>
      <c r="M506" s="21"/>
      <c r="N506" s="21"/>
      <c r="O506" s="21"/>
    </row>
    <row r="507" spans="1:15" ht="25.5" x14ac:dyDescent="0.2">
      <c r="A507" s="18" t="s">
        <v>302</v>
      </c>
      <c r="B507" s="18">
        <v>919</v>
      </c>
      <c r="C507" s="19" t="s">
        <v>18</v>
      </c>
      <c r="D507" s="19" t="s">
        <v>26</v>
      </c>
      <c r="E507" s="19" t="s">
        <v>301</v>
      </c>
      <c r="F507" s="19"/>
      <c r="G507" s="20">
        <f>G508</f>
        <v>8080.1</v>
      </c>
      <c r="H507" s="20">
        <f>H508</f>
        <v>8080.1</v>
      </c>
      <c r="I507" s="20">
        <f>I508</f>
        <v>8080.1</v>
      </c>
      <c r="K507" s="114"/>
    </row>
    <row r="508" spans="1:15" ht="25.5" x14ac:dyDescent="0.2">
      <c r="A508" s="31" t="s">
        <v>144</v>
      </c>
      <c r="B508" s="31">
        <v>919</v>
      </c>
      <c r="C508" s="27" t="s">
        <v>18</v>
      </c>
      <c r="D508" s="27" t="s">
        <v>26</v>
      </c>
      <c r="E508" s="27" t="s">
        <v>301</v>
      </c>
      <c r="F508" s="27" t="s">
        <v>65</v>
      </c>
      <c r="G508" s="28">
        <v>8080.1</v>
      </c>
      <c r="H508" s="28">
        <v>8080.1</v>
      </c>
      <c r="I508" s="28">
        <v>8080.1</v>
      </c>
      <c r="K508" s="114"/>
    </row>
    <row r="509" spans="1:15" ht="25.5" x14ac:dyDescent="0.2">
      <c r="A509" s="18" t="s">
        <v>304</v>
      </c>
      <c r="B509" s="22">
        <v>919</v>
      </c>
      <c r="C509" s="19" t="s">
        <v>18</v>
      </c>
      <c r="D509" s="19" t="s">
        <v>26</v>
      </c>
      <c r="E509" s="19" t="s">
        <v>303</v>
      </c>
      <c r="F509" s="19"/>
      <c r="G509" s="20">
        <f>G510</f>
        <v>583.79999999999995</v>
      </c>
      <c r="H509" s="20">
        <f>H510</f>
        <v>583.79999999999995</v>
      </c>
      <c r="I509" s="20">
        <f>I510</f>
        <v>583.79999999999995</v>
      </c>
      <c r="K509" s="114"/>
      <c r="N509" s="29"/>
      <c r="O509" s="29"/>
    </row>
    <row r="510" spans="1:15" s="29" customFormat="1" ht="25.5" x14ac:dyDescent="0.2">
      <c r="A510" s="31" t="s">
        <v>144</v>
      </c>
      <c r="B510" s="35">
        <v>919</v>
      </c>
      <c r="C510" s="27" t="s">
        <v>18</v>
      </c>
      <c r="D510" s="27" t="s">
        <v>26</v>
      </c>
      <c r="E510" s="27" t="s">
        <v>303</v>
      </c>
      <c r="F510" s="27" t="s">
        <v>65</v>
      </c>
      <c r="G510" s="28">
        <v>583.79999999999995</v>
      </c>
      <c r="H510" s="28">
        <v>583.79999999999995</v>
      </c>
      <c r="I510" s="28">
        <v>583.79999999999995</v>
      </c>
      <c r="J510" s="21"/>
      <c r="K510" s="114"/>
      <c r="L510" s="21"/>
      <c r="M510" s="21"/>
      <c r="N510" s="21"/>
      <c r="O510" s="21"/>
    </row>
    <row r="511" spans="1:15" s="105" customFormat="1" x14ac:dyDescent="0.2">
      <c r="A511" s="101" t="s">
        <v>30</v>
      </c>
      <c r="B511" s="102">
        <v>919</v>
      </c>
      <c r="C511" s="103" t="s">
        <v>31</v>
      </c>
      <c r="D511" s="103"/>
      <c r="E511" s="103"/>
      <c r="F511" s="103"/>
      <c r="G511" s="104">
        <f>G512+G515+G535+G551</f>
        <v>230688.98380999998</v>
      </c>
      <c r="H511" s="104">
        <f>H512+H515+H535+H551</f>
        <v>37693.4</v>
      </c>
      <c r="I511" s="104">
        <f>I512+I515+I535+I551</f>
        <v>37121.4</v>
      </c>
      <c r="J511" s="111"/>
      <c r="K511" s="115"/>
      <c r="L511" s="111"/>
      <c r="M511" s="95"/>
      <c r="N511" s="95"/>
      <c r="O511" s="95"/>
    </row>
    <row r="512" spans="1:15" s="9" customFormat="1" x14ac:dyDescent="0.2">
      <c r="A512" s="11" t="s">
        <v>32</v>
      </c>
      <c r="B512" s="14">
        <v>919</v>
      </c>
      <c r="C512" s="8" t="s">
        <v>31</v>
      </c>
      <c r="D512" s="8" t="s">
        <v>12</v>
      </c>
      <c r="E512" s="8"/>
      <c r="F512" s="8"/>
      <c r="G512" s="4">
        <f t="shared" ref="G512:I513" si="63">G513</f>
        <v>1047.3</v>
      </c>
      <c r="H512" s="4">
        <f t="shared" si="63"/>
        <v>1087.0999999999999</v>
      </c>
      <c r="I512" s="4">
        <f t="shared" si="63"/>
        <v>1087.0999999999999</v>
      </c>
      <c r="J512" s="73"/>
      <c r="K512" s="116"/>
      <c r="L512" s="73"/>
    </row>
    <row r="513" spans="1:16" ht="25.5" x14ac:dyDescent="0.2">
      <c r="A513" s="18" t="s">
        <v>353</v>
      </c>
      <c r="B513" s="22">
        <v>919</v>
      </c>
      <c r="C513" s="19" t="s">
        <v>31</v>
      </c>
      <c r="D513" s="19" t="s">
        <v>12</v>
      </c>
      <c r="E513" s="19" t="s">
        <v>305</v>
      </c>
      <c r="F513" s="19"/>
      <c r="G513" s="20">
        <f t="shared" si="63"/>
        <v>1047.3</v>
      </c>
      <c r="H513" s="20">
        <f t="shared" si="63"/>
        <v>1087.0999999999999</v>
      </c>
      <c r="I513" s="20">
        <f t="shared" si="63"/>
        <v>1087.0999999999999</v>
      </c>
      <c r="J513" s="7"/>
      <c r="K513" s="116"/>
      <c r="L513" s="7"/>
      <c r="M513" s="7"/>
      <c r="N513" s="7"/>
      <c r="O513" s="7"/>
    </row>
    <row r="514" spans="1:16" s="29" customFormat="1" x14ac:dyDescent="0.2">
      <c r="A514" s="31" t="s">
        <v>72</v>
      </c>
      <c r="B514" s="35">
        <v>919</v>
      </c>
      <c r="C514" s="27" t="s">
        <v>31</v>
      </c>
      <c r="D514" s="27" t="s">
        <v>12</v>
      </c>
      <c r="E514" s="27" t="s">
        <v>305</v>
      </c>
      <c r="F514" s="27" t="s">
        <v>73</v>
      </c>
      <c r="G514" s="28">
        <f>1087.1-15-17.8-7</f>
        <v>1047.3</v>
      </c>
      <c r="H514" s="28">
        <v>1087.0999999999999</v>
      </c>
      <c r="I514" s="28">
        <v>1087.0999999999999</v>
      </c>
      <c r="J514" s="7"/>
      <c r="K514" s="116"/>
      <c r="L514" s="7"/>
      <c r="M514" s="7"/>
      <c r="N514" s="7"/>
      <c r="O514" s="7"/>
    </row>
    <row r="515" spans="1:16" s="110" customFormat="1" x14ac:dyDescent="0.2">
      <c r="A515" s="106" t="s">
        <v>33</v>
      </c>
      <c r="B515" s="107">
        <v>919</v>
      </c>
      <c r="C515" s="108" t="s">
        <v>31</v>
      </c>
      <c r="D515" s="108" t="s">
        <v>14</v>
      </c>
      <c r="E515" s="108"/>
      <c r="F515" s="108"/>
      <c r="G515" s="109">
        <f>G525+G529+G531+G533+G518+G522+G520+G527+G516</f>
        <v>166026.79999999999</v>
      </c>
      <c r="H515" s="109">
        <f t="shared" ref="H515:I515" si="64">H525+H529+H531+H533+H518+H522+H520+H527+H516</f>
        <v>3871</v>
      </c>
      <c r="I515" s="109">
        <f t="shared" si="64"/>
        <v>3449</v>
      </c>
      <c r="J515" s="95"/>
      <c r="K515" s="115"/>
      <c r="L515" s="95"/>
      <c r="M515" s="95"/>
      <c r="N515" s="95"/>
      <c r="O515" s="95"/>
    </row>
    <row r="516" spans="1:16" s="7" customFormat="1" ht="38.25" x14ac:dyDescent="0.2">
      <c r="A516" s="17" t="s">
        <v>398</v>
      </c>
      <c r="B516" s="50">
        <v>919</v>
      </c>
      <c r="C516" s="19" t="s">
        <v>31</v>
      </c>
      <c r="D516" s="19" t="s">
        <v>14</v>
      </c>
      <c r="E516" s="19" t="s">
        <v>365</v>
      </c>
      <c r="F516" s="19"/>
      <c r="G516" s="20">
        <f>G517</f>
        <v>62700</v>
      </c>
      <c r="H516" s="20">
        <f>H517</f>
        <v>0</v>
      </c>
      <c r="I516" s="20">
        <f>I517</f>
        <v>0</v>
      </c>
      <c r="J516" s="29"/>
      <c r="K516" s="114"/>
      <c r="L516" s="29"/>
      <c r="M516" s="29"/>
      <c r="N516" s="29"/>
      <c r="O516" s="29"/>
    </row>
    <row r="517" spans="1:16" s="7" customFormat="1" ht="25.5" x14ac:dyDescent="0.2">
      <c r="A517" s="31" t="s">
        <v>83</v>
      </c>
      <c r="B517" s="35">
        <v>919</v>
      </c>
      <c r="C517" s="27" t="s">
        <v>31</v>
      </c>
      <c r="D517" s="27" t="s">
        <v>14</v>
      </c>
      <c r="E517" s="27" t="s">
        <v>365</v>
      </c>
      <c r="F517" s="27" t="s">
        <v>71</v>
      </c>
      <c r="G517" s="28">
        <v>62700</v>
      </c>
      <c r="H517" s="28"/>
      <c r="I517" s="28"/>
      <c r="J517" s="21"/>
      <c r="K517" s="114"/>
      <c r="L517" s="21"/>
      <c r="M517" s="21"/>
      <c r="N517" s="21"/>
      <c r="O517" s="21"/>
    </row>
    <row r="518" spans="1:16" s="7" customFormat="1" ht="25.5" x14ac:dyDescent="0.2">
      <c r="A518" s="17" t="s">
        <v>307</v>
      </c>
      <c r="B518" s="50">
        <v>919</v>
      </c>
      <c r="C518" s="19" t="s">
        <v>31</v>
      </c>
      <c r="D518" s="19" t="s">
        <v>14</v>
      </c>
      <c r="E518" s="19" t="s">
        <v>306</v>
      </c>
      <c r="F518" s="19"/>
      <c r="G518" s="20">
        <f>G519</f>
        <v>5708.6</v>
      </c>
      <c r="H518" s="20">
        <f t="shared" ref="H518:I518" si="65">H519</f>
        <v>2701</v>
      </c>
      <c r="I518" s="20">
        <f t="shared" si="65"/>
        <v>2379</v>
      </c>
      <c r="J518" s="29"/>
      <c r="K518" s="114"/>
      <c r="L518" s="29"/>
      <c r="M518" s="29"/>
      <c r="N518" s="29"/>
      <c r="O518" s="29"/>
    </row>
    <row r="519" spans="1:16" s="7" customFormat="1" ht="25.5" x14ac:dyDescent="0.2">
      <c r="A519" s="31" t="s">
        <v>76</v>
      </c>
      <c r="B519" s="35">
        <v>919</v>
      </c>
      <c r="C519" s="27" t="s">
        <v>31</v>
      </c>
      <c r="D519" s="27" t="s">
        <v>14</v>
      </c>
      <c r="E519" s="27" t="s">
        <v>306</v>
      </c>
      <c r="F519" s="27" t="s">
        <v>68</v>
      </c>
      <c r="G519" s="28">
        <f>2000+3827-50-50-18.4</f>
        <v>5708.6</v>
      </c>
      <c r="H519" s="28">
        <v>2701</v>
      </c>
      <c r="I519" s="28">
        <v>2379</v>
      </c>
      <c r="J519" s="21"/>
      <c r="K519" s="114"/>
      <c r="L519" s="21"/>
      <c r="M519" s="21"/>
      <c r="N519" s="21"/>
      <c r="O519" s="21"/>
    </row>
    <row r="520" spans="1:16" s="7" customFormat="1" ht="25.5" x14ac:dyDescent="0.2">
      <c r="A520" s="17" t="s">
        <v>339</v>
      </c>
      <c r="B520" s="50">
        <v>919</v>
      </c>
      <c r="C520" s="19" t="s">
        <v>31</v>
      </c>
      <c r="D520" s="19" t="s">
        <v>14</v>
      </c>
      <c r="E520" s="19" t="s">
        <v>338</v>
      </c>
      <c r="F520" s="19"/>
      <c r="G520" s="20">
        <f>G521</f>
        <v>811.3</v>
      </c>
      <c r="H520" s="20">
        <f>H521</f>
        <v>0</v>
      </c>
      <c r="I520" s="20">
        <f>I521</f>
        <v>0</v>
      </c>
      <c r="J520" s="29"/>
      <c r="K520" s="116"/>
      <c r="L520" s="29"/>
      <c r="M520" s="29"/>
      <c r="N520" s="29"/>
      <c r="O520" s="29"/>
    </row>
    <row r="521" spans="1:16" s="7" customFormat="1" ht="25.5" x14ac:dyDescent="0.2">
      <c r="A521" s="31" t="s">
        <v>83</v>
      </c>
      <c r="B521" s="35">
        <v>919</v>
      </c>
      <c r="C521" s="27" t="s">
        <v>31</v>
      </c>
      <c r="D521" s="27" t="s">
        <v>14</v>
      </c>
      <c r="E521" s="27" t="s">
        <v>338</v>
      </c>
      <c r="F521" s="27" t="s">
        <v>71</v>
      </c>
      <c r="G521" s="28">
        <f>3827+55203-59030+811.3</f>
        <v>811.3</v>
      </c>
      <c r="H521" s="28"/>
      <c r="I521" s="28"/>
      <c r="J521" s="21"/>
      <c r="K521" s="116"/>
      <c r="L521" s="21"/>
      <c r="M521" s="21"/>
      <c r="N521" s="21"/>
      <c r="O521" s="21"/>
    </row>
    <row r="522" spans="1:16" s="7" customFormat="1" ht="12" customHeight="1" x14ac:dyDescent="0.2">
      <c r="A522" s="17" t="s">
        <v>309</v>
      </c>
      <c r="B522" s="50">
        <v>919</v>
      </c>
      <c r="C522" s="19" t="s">
        <v>31</v>
      </c>
      <c r="D522" s="19" t="s">
        <v>14</v>
      </c>
      <c r="E522" s="19" t="s">
        <v>308</v>
      </c>
      <c r="F522" s="19"/>
      <c r="G522" s="20">
        <f>G523+G524</f>
        <v>1841.4</v>
      </c>
      <c r="H522" s="20">
        <f t="shared" ref="H522:I522" si="66">H523+H524</f>
        <v>770</v>
      </c>
      <c r="I522" s="20">
        <f t="shared" si="66"/>
        <v>770</v>
      </c>
      <c r="J522" s="29"/>
      <c r="K522" s="114"/>
      <c r="L522" s="29"/>
      <c r="M522" s="29"/>
      <c r="N522" s="29"/>
      <c r="O522" s="29"/>
    </row>
    <row r="523" spans="1:16" s="7" customFormat="1" ht="25.5" x14ac:dyDescent="0.2">
      <c r="A523" s="31" t="s">
        <v>76</v>
      </c>
      <c r="B523" s="35">
        <v>919</v>
      </c>
      <c r="C523" s="27" t="s">
        <v>31</v>
      </c>
      <c r="D523" s="27" t="s">
        <v>14</v>
      </c>
      <c r="E523" s="27" t="s">
        <v>308</v>
      </c>
      <c r="F523" s="27" t="s">
        <v>68</v>
      </c>
      <c r="G523" s="28">
        <f>770+1053</f>
        <v>1823</v>
      </c>
      <c r="H523" s="28">
        <v>770</v>
      </c>
      <c r="I523" s="28">
        <v>770</v>
      </c>
      <c r="J523" s="21"/>
      <c r="K523" s="114"/>
      <c r="L523" s="21"/>
      <c r="M523" s="21"/>
      <c r="N523" s="21"/>
      <c r="O523" s="21"/>
    </row>
    <row r="524" spans="1:16" s="7" customFormat="1" x14ac:dyDescent="0.2">
      <c r="A524" s="31" t="s">
        <v>72</v>
      </c>
      <c r="B524" s="35">
        <v>919</v>
      </c>
      <c r="C524" s="27" t="s">
        <v>31</v>
      </c>
      <c r="D524" s="27" t="s">
        <v>14</v>
      </c>
      <c r="E524" s="27" t="s">
        <v>308</v>
      </c>
      <c r="F524" s="27" t="s">
        <v>73</v>
      </c>
      <c r="G524" s="28">
        <v>18.399999999999999</v>
      </c>
      <c r="H524" s="28"/>
      <c r="I524" s="28"/>
      <c r="J524" s="21"/>
      <c r="K524" s="114"/>
      <c r="L524" s="21"/>
      <c r="M524" s="21"/>
      <c r="N524" s="21"/>
      <c r="O524" s="21"/>
    </row>
    <row r="525" spans="1:16" s="7" customFormat="1" x14ac:dyDescent="0.2">
      <c r="A525" s="17" t="s">
        <v>311</v>
      </c>
      <c r="B525" s="50">
        <v>919</v>
      </c>
      <c r="C525" s="19" t="s">
        <v>31</v>
      </c>
      <c r="D525" s="19" t="s">
        <v>14</v>
      </c>
      <c r="E525" s="19" t="s">
        <v>310</v>
      </c>
      <c r="F525" s="19"/>
      <c r="G525" s="20">
        <f>G526</f>
        <v>700</v>
      </c>
      <c r="H525" s="20">
        <f t="shared" ref="H525:I525" si="67">H526</f>
        <v>400</v>
      </c>
      <c r="I525" s="20">
        <f t="shared" si="67"/>
        <v>300</v>
      </c>
      <c r="J525" s="29"/>
      <c r="K525" s="114"/>
      <c r="L525" s="29"/>
      <c r="M525" s="29"/>
      <c r="N525" s="29"/>
      <c r="O525" s="29"/>
    </row>
    <row r="526" spans="1:16" s="7" customFormat="1" ht="25.5" x14ac:dyDescent="0.2">
      <c r="A526" s="31" t="s">
        <v>76</v>
      </c>
      <c r="B526" s="35">
        <v>919</v>
      </c>
      <c r="C526" s="27" t="s">
        <v>31</v>
      </c>
      <c r="D526" s="27" t="s">
        <v>14</v>
      </c>
      <c r="E526" s="27" t="s">
        <v>310</v>
      </c>
      <c r="F526" s="27" t="s">
        <v>68</v>
      </c>
      <c r="G526" s="28">
        <v>700</v>
      </c>
      <c r="H526" s="28">
        <v>400</v>
      </c>
      <c r="I526" s="28">
        <v>300</v>
      </c>
      <c r="J526" s="21"/>
      <c r="K526" s="114"/>
      <c r="L526" s="21"/>
      <c r="M526" s="21"/>
      <c r="N526" s="21"/>
      <c r="O526" s="21"/>
    </row>
    <row r="527" spans="1:16" s="7" customFormat="1" ht="13.5" customHeight="1" x14ac:dyDescent="0.2">
      <c r="A527" s="17" t="s">
        <v>369</v>
      </c>
      <c r="B527" s="17">
        <v>919</v>
      </c>
      <c r="C527" s="19" t="s">
        <v>31</v>
      </c>
      <c r="D527" s="19" t="s">
        <v>14</v>
      </c>
      <c r="E527" s="19" t="s">
        <v>368</v>
      </c>
      <c r="F527" s="19"/>
      <c r="G527" s="20">
        <f>G528</f>
        <v>3670</v>
      </c>
      <c r="H527" s="20">
        <f>H528</f>
        <v>0</v>
      </c>
      <c r="I527" s="20">
        <f>I528</f>
        <v>0</v>
      </c>
      <c r="J527" s="29"/>
      <c r="K527" s="114"/>
      <c r="L527" s="29"/>
      <c r="M527" s="29"/>
      <c r="N527" s="29"/>
      <c r="O527" s="29"/>
      <c r="P527" s="29"/>
    </row>
    <row r="528" spans="1:16" s="7" customFormat="1" ht="25.5" x14ac:dyDescent="0.2">
      <c r="A528" s="31" t="s">
        <v>76</v>
      </c>
      <c r="B528" s="31">
        <v>919</v>
      </c>
      <c r="C528" s="27" t="s">
        <v>31</v>
      </c>
      <c r="D528" s="27" t="s">
        <v>14</v>
      </c>
      <c r="E528" s="27" t="s">
        <v>368</v>
      </c>
      <c r="F528" s="27" t="s">
        <v>68</v>
      </c>
      <c r="G528" s="28">
        <f>4600-30-900</f>
        <v>3670</v>
      </c>
      <c r="H528" s="28">
        <v>0</v>
      </c>
      <c r="I528" s="28">
        <v>0</v>
      </c>
      <c r="J528" s="21"/>
      <c r="K528" s="114"/>
      <c r="L528" s="21"/>
      <c r="M528" s="21"/>
      <c r="N528" s="21"/>
      <c r="O528" s="21"/>
      <c r="P528" s="21"/>
    </row>
    <row r="529" spans="1:15" s="95" customFormat="1" ht="63.75" x14ac:dyDescent="0.2">
      <c r="A529" s="91" t="s">
        <v>313</v>
      </c>
      <c r="B529" s="92">
        <v>919</v>
      </c>
      <c r="C529" s="93" t="s">
        <v>31</v>
      </c>
      <c r="D529" s="93" t="s">
        <v>14</v>
      </c>
      <c r="E529" s="93" t="s">
        <v>312</v>
      </c>
      <c r="F529" s="93"/>
      <c r="G529" s="94">
        <f>G530</f>
        <v>83113.100000000006</v>
      </c>
      <c r="H529" s="94">
        <f>H530</f>
        <v>0</v>
      </c>
      <c r="I529" s="94">
        <f>I530</f>
        <v>0</v>
      </c>
      <c r="J529" s="100"/>
      <c r="K529" s="115"/>
      <c r="L529" s="100"/>
      <c r="M529" s="100"/>
      <c r="N529" s="100"/>
      <c r="O529" s="100"/>
    </row>
    <row r="530" spans="1:15" s="100" customFormat="1" x14ac:dyDescent="0.2">
      <c r="A530" s="96" t="s">
        <v>72</v>
      </c>
      <c r="B530" s="97">
        <v>919</v>
      </c>
      <c r="C530" s="98" t="s">
        <v>31</v>
      </c>
      <c r="D530" s="98" t="s">
        <v>14</v>
      </c>
      <c r="E530" s="98" t="s">
        <v>312</v>
      </c>
      <c r="F530" s="98" t="s">
        <v>73</v>
      </c>
      <c r="G530" s="99">
        <f>29467.8+84762.4+1456.8-55203-4600+55203-5000-1053+33079.1-55000</f>
        <v>83113.100000000006</v>
      </c>
      <c r="H530" s="99"/>
      <c r="I530" s="99"/>
      <c r="J530" s="95"/>
      <c r="K530" s="115"/>
      <c r="L530" s="95"/>
      <c r="M530" s="95"/>
      <c r="N530" s="95"/>
      <c r="O530" s="95"/>
    </row>
    <row r="531" spans="1:15" ht="63.75" x14ac:dyDescent="0.2">
      <c r="A531" s="17" t="s">
        <v>315</v>
      </c>
      <c r="B531" s="50">
        <v>919</v>
      </c>
      <c r="C531" s="19" t="s">
        <v>31</v>
      </c>
      <c r="D531" s="19" t="s">
        <v>14</v>
      </c>
      <c r="E531" s="19" t="s">
        <v>314</v>
      </c>
      <c r="F531" s="19"/>
      <c r="G531" s="20">
        <f>G532</f>
        <v>2623.8999999999996</v>
      </c>
      <c r="H531" s="20">
        <f>H532</f>
        <v>0</v>
      </c>
      <c r="I531" s="20">
        <f>I532</f>
        <v>0</v>
      </c>
      <c r="J531" s="29"/>
      <c r="K531" s="116"/>
      <c r="L531" s="29"/>
      <c r="M531" s="29"/>
      <c r="N531" s="29"/>
      <c r="O531" s="29"/>
    </row>
    <row r="532" spans="1:15" s="29" customFormat="1" x14ac:dyDescent="0.2">
      <c r="A532" s="31" t="s">
        <v>72</v>
      </c>
      <c r="B532" s="35">
        <v>919</v>
      </c>
      <c r="C532" s="27" t="s">
        <v>31</v>
      </c>
      <c r="D532" s="27" t="s">
        <v>14</v>
      </c>
      <c r="E532" s="27" t="s">
        <v>314</v>
      </c>
      <c r="F532" s="27" t="s">
        <v>73</v>
      </c>
      <c r="G532" s="28">
        <f>1511.3+1112.6</f>
        <v>2623.8999999999996</v>
      </c>
      <c r="H532" s="28"/>
      <c r="I532" s="28"/>
      <c r="J532" s="9"/>
      <c r="K532" s="116"/>
      <c r="L532" s="9"/>
      <c r="M532" s="9"/>
      <c r="N532" s="9"/>
      <c r="O532" s="9"/>
    </row>
    <row r="533" spans="1:15" ht="38.25" x14ac:dyDescent="0.2">
      <c r="A533" s="18" t="s">
        <v>317</v>
      </c>
      <c r="B533" s="22">
        <v>919</v>
      </c>
      <c r="C533" s="19" t="s">
        <v>31</v>
      </c>
      <c r="D533" s="19" t="s">
        <v>14</v>
      </c>
      <c r="E533" s="19" t="s">
        <v>316</v>
      </c>
      <c r="F533" s="19"/>
      <c r="G533" s="20">
        <f>G534</f>
        <v>4858.5</v>
      </c>
      <c r="H533" s="20">
        <f>H534</f>
        <v>0</v>
      </c>
      <c r="I533" s="20">
        <f>I534</f>
        <v>0</v>
      </c>
      <c r="K533" s="116"/>
    </row>
    <row r="534" spans="1:15" s="29" customFormat="1" x14ac:dyDescent="0.2">
      <c r="A534" s="31" t="s">
        <v>72</v>
      </c>
      <c r="B534" s="35">
        <v>919</v>
      </c>
      <c r="C534" s="27" t="s">
        <v>31</v>
      </c>
      <c r="D534" s="27" t="s">
        <v>14</v>
      </c>
      <c r="E534" s="27" t="s">
        <v>316</v>
      </c>
      <c r="F534" s="27" t="s">
        <v>73</v>
      </c>
      <c r="G534" s="28">
        <f>2919.4+1939.1</f>
        <v>4858.5</v>
      </c>
      <c r="H534" s="28"/>
      <c r="I534" s="28"/>
      <c r="J534" s="21"/>
      <c r="K534" s="116"/>
      <c r="L534" s="21"/>
      <c r="M534" s="21"/>
      <c r="N534" s="21"/>
      <c r="O534" s="21"/>
    </row>
    <row r="535" spans="1:15" s="9" customFormat="1" x14ac:dyDescent="0.2">
      <c r="A535" s="11" t="s">
        <v>35</v>
      </c>
      <c r="B535" s="14">
        <v>919</v>
      </c>
      <c r="C535" s="8" t="s">
        <v>31</v>
      </c>
      <c r="D535" s="8" t="s">
        <v>16</v>
      </c>
      <c r="E535" s="8"/>
      <c r="F535" s="8"/>
      <c r="G535" s="4">
        <f>G541+G543+G545+G547+G538+G536+G549</f>
        <v>36614.883809999999</v>
      </c>
      <c r="H535" s="4">
        <f t="shared" ref="H535:I535" si="68">H541+H543+H545+H547+H538+H536+H549</f>
        <v>10710</v>
      </c>
      <c r="I535" s="4">
        <f t="shared" si="68"/>
        <v>10560</v>
      </c>
      <c r="J535" s="7"/>
      <c r="K535" s="116"/>
      <c r="L535" s="7"/>
      <c r="M535" s="7"/>
      <c r="N535" s="7"/>
      <c r="O535" s="7"/>
    </row>
    <row r="536" spans="1:15" s="7" customFormat="1" ht="25.5" x14ac:dyDescent="0.2">
      <c r="A536" s="17" t="s">
        <v>389</v>
      </c>
      <c r="B536" s="50">
        <v>919</v>
      </c>
      <c r="C536" s="19" t="s">
        <v>31</v>
      </c>
      <c r="D536" s="19" t="s">
        <v>16</v>
      </c>
      <c r="E536" s="19" t="s">
        <v>388</v>
      </c>
      <c r="F536" s="19"/>
      <c r="G536" s="20">
        <f>G537</f>
        <v>0</v>
      </c>
      <c r="H536" s="20">
        <f>H537</f>
        <v>150</v>
      </c>
      <c r="I536" s="20">
        <f>I537</f>
        <v>0</v>
      </c>
      <c r="J536" s="29"/>
      <c r="K536" s="114"/>
      <c r="L536" s="29"/>
      <c r="M536" s="29"/>
      <c r="N536" s="29"/>
      <c r="O536" s="29"/>
    </row>
    <row r="537" spans="1:15" s="7" customFormat="1" ht="25.5" x14ac:dyDescent="0.2">
      <c r="A537" s="31" t="s">
        <v>76</v>
      </c>
      <c r="B537" s="35">
        <v>919</v>
      </c>
      <c r="C537" s="27" t="s">
        <v>31</v>
      </c>
      <c r="D537" s="27" t="s">
        <v>16</v>
      </c>
      <c r="E537" s="19" t="s">
        <v>388</v>
      </c>
      <c r="F537" s="27" t="s">
        <v>68</v>
      </c>
      <c r="G537" s="28">
        <v>0</v>
      </c>
      <c r="H537" s="28">
        <v>150</v>
      </c>
      <c r="I537" s="28">
        <v>0</v>
      </c>
      <c r="J537" s="21"/>
      <c r="K537" s="114"/>
      <c r="L537" s="21"/>
      <c r="M537" s="21"/>
      <c r="N537" s="21"/>
      <c r="O537" s="21"/>
    </row>
    <row r="538" spans="1:15" s="7" customFormat="1" ht="38.25" x14ac:dyDescent="0.2">
      <c r="A538" s="17" t="s">
        <v>414</v>
      </c>
      <c r="B538" s="50">
        <v>919</v>
      </c>
      <c r="C538" s="19" t="s">
        <v>31</v>
      </c>
      <c r="D538" s="19" t="s">
        <v>16</v>
      </c>
      <c r="E538" s="19" t="s">
        <v>415</v>
      </c>
      <c r="F538" s="19"/>
      <c r="G538" s="20">
        <f>G540+G539</f>
        <v>21799.483809999998</v>
      </c>
      <c r="H538" s="20">
        <f t="shared" ref="H538:I538" si="69">H540+H539</f>
        <v>0</v>
      </c>
      <c r="I538" s="20">
        <f t="shared" si="69"/>
        <v>0</v>
      </c>
      <c r="J538" s="29"/>
      <c r="K538" s="114"/>
      <c r="L538" s="29"/>
      <c r="M538" s="29"/>
      <c r="N538" s="29"/>
      <c r="O538" s="29"/>
    </row>
    <row r="539" spans="1:15" s="7" customFormat="1" ht="25.5" x14ac:dyDescent="0.2">
      <c r="A539" s="31" t="s">
        <v>76</v>
      </c>
      <c r="B539" s="35">
        <v>919</v>
      </c>
      <c r="C539" s="27" t="s">
        <v>31</v>
      </c>
      <c r="D539" s="27" t="s">
        <v>16</v>
      </c>
      <c r="E539" s="27" t="s">
        <v>415</v>
      </c>
      <c r="F539" s="27" t="s">
        <v>68</v>
      </c>
      <c r="G539" s="28">
        <f>13079.69333+1453.29926</f>
        <v>14532.99259</v>
      </c>
      <c r="H539" s="28"/>
      <c r="I539" s="28">
        <v>0</v>
      </c>
      <c r="J539" s="21"/>
      <c r="K539" s="114"/>
      <c r="L539" s="21"/>
      <c r="M539" s="21"/>
      <c r="N539" s="21"/>
      <c r="O539" s="21"/>
    </row>
    <row r="540" spans="1:15" s="7" customFormat="1" ht="25.5" x14ac:dyDescent="0.2">
      <c r="A540" s="31" t="s">
        <v>144</v>
      </c>
      <c r="B540" s="35">
        <v>919</v>
      </c>
      <c r="C540" s="27" t="s">
        <v>31</v>
      </c>
      <c r="D540" s="27" t="s">
        <v>16</v>
      </c>
      <c r="E540" s="27" t="s">
        <v>415</v>
      </c>
      <c r="F540" s="27" t="s">
        <v>65</v>
      </c>
      <c r="G540" s="28">
        <f>6539.8421+726.64912</f>
        <v>7266.4912199999999</v>
      </c>
      <c r="H540" s="28"/>
      <c r="I540" s="28">
        <v>0</v>
      </c>
      <c r="J540" s="21"/>
      <c r="K540" s="114"/>
      <c r="L540" s="21"/>
      <c r="M540" s="21"/>
      <c r="N540" s="21"/>
      <c r="O540" s="21"/>
    </row>
    <row r="541" spans="1:15" s="7" customFormat="1" x14ac:dyDescent="0.2">
      <c r="A541" s="18" t="s">
        <v>319</v>
      </c>
      <c r="B541" s="22">
        <v>919</v>
      </c>
      <c r="C541" s="19" t="s">
        <v>31</v>
      </c>
      <c r="D541" s="19" t="s">
        <v>16</v>
      </c>
      <c r="E541" s="19" t="s">
        <v>318</v>
      </c>
      <c r="F541" s="19"/>
      <c r="G541" s="20">
        <f>G542</f>
        <v>400</v>
      </c>
      <c r="H541" s="20">
        <f>H542</f>
        <v>400</v>
      </c>
      <c r="I541" s="20">
        <f>I542</f>
        <v>400</v>
      </c>
      <c r="J541" s="29"/>
      <c r="K541" s="114"/>
      <c r="L541" s="29"/>
      <c r="M541" s="29"/>
      <c r="N541" s="29"/>
      <c r="O541" s="29"/>
    </row>
    <row r="542" spans="1:15" s="29" customFormat="1" ht="25.5" x14ac:dyDescent="0.2">
      <c r="A542" s="31" t="s">
        <v>144</v>
      </c>
      <c r="B542" s="35">
        <v>919</v>
      </c>
      <c r="C542" s="27" t="s">
        <v>31</v>
      </c>
      <c r="D542" s="27" t="s">
        <v>16</v>
      </c>
      <c r="E542" s="27" t="s">
        <v>318</v>
      </c>
      <c r="F542" s="27" t="s">
        <v>65</v>
      </c>
      <c r="G542" s="28">
        <v>400</v>
      </c>
      <c r="H542" s="28">
        <v>400</v>
      </c>
      <c r="I542" s="28">
        <v>400</v>
      </c>
      <c r="J542" s="7"/>
      <c r="K542" s="114"/>
      <c r="L542" s="7"/>
      <c r="M542" s="7"/>
      <c r="N542" s="7"/>
      <c r="O542" s="7"/>
    </row>
    <row r="543" spans="1:15" s="7" customFormat="1" ht="25.5" x14ac:dyDescent="0.2">
      <c r="A543" s="18" t="s">
        <v>320</v>
      </c>
      <c r="B543" s="22">
        <v>919</v>
      </c>
      <c r="C543" s="19" t="s">
        <v>31</v>
      </c>
      <c r="D543" s="19" t="s">
        <v>16</v>
      </c>
      <c r="E543" s="19" t="s">
        <v>321</v>
      </c>
      <c r="F543" s="19"/>
      <c r="G543" s="20">
        <f>G544</f>
        <v>3000</v>
      </c>
      <c r="H543" s="20">
        <f>H544</f>
        <v>3000</v>
      </c>
      <c r="I543" s="20">
        <f>I544</f>
        <v>3000</v>
      </c>
      <c r="J543" s="29"/>
      <c r="K543" s="114"/>
      <c r="L543" s="29"/>
      <c r="M543" s="29"/>
      <c r="N543" s="29"/>
      <c r="O543" s="29"/>
    </row>
    <row r="544" spans="1:15" s="29" customFormat="1" ht="25.5" x14ac:dyDescent="0.2">
      <c r="A544" s="31" t="s">
        <v>144</v>
      </c>
      <c r="B544" s="35">
        <v>919</v>
      </c>
      <c r="C544" s="27" t="s">
        <v>31</v>
      </c>
      <c r="D544" s="27" t="s">
        <v>16</v>
      </c>
      <c r="E544" s="27" t="s">
        <v>321</v>
      </c>
      <c r="F544" s="27" t="s">
        <v>65</v>
      </c>
      <c r="G544" s="28">
        <v>3000</v>
      </c>
      <c r="H544" s="28">
        <v>3000</v>
      </c>
      <c r="I544" s="28">
        <v>3000</v>
      </c>
      <c r="J544" s="9"/>
      <c r="K544" s="114"/>
      <c r="L544" s="9"/>
      <c r="M544" s="9"/>
      <c r="N544" s="9"/>
      <c r="O544" s="9"/>
    </row>
    <row r="545" spans="1:15" s="7" customFormat="1" x14ac:dyDescent="0.2">
      <c r="A545" s="18" t="s">
        <v>323</v>
      </c>
      <c r="B545" s="22">
        <v>919</v>
      </c>
      <c r="C545" s="27" t="s">
        <v>31</v>
      </c>
      <c r="D545" s="27" t="s">
        <v>16</v>
      </c>
      <c r="E545" s="19" t="s">
        <v>322</v>
      </c>
      <c r="F545" s="27"/>
      <c r="G545" s="28">
        <f>G546</f>
        <v>1500</v>
      </c>
      <c r="H545" s="28">
        <f>H546</f>
        <v>1500</v>
      </c>
      <c r="I545" s="28">
        <f>I546</f>
        <v>1500</v>
      </c>
      <c r="J545" s="21"/>
      <c r="K545" s="114"/>
      <c r="L545" s="21"/>
      <c r="M545" s="21"/>
      <c r="N545" s="21"/>
      <c r="O545" s="21"/>
    </row>
    <row r="546" spans="1:15" s="29" customFormat="1" ht="25.5" x14ac:dyDescent="0.2">
      <c r="A546" s="31" t="s">
        <v>144</v>
      </c>
      <c r="B546" s="35">
        <v>919</v>
      </c>
      <c r="C546" s="27" t="s">
        <v>31</v>
      </c>
      <c r="D546" s="27" t="s">
        <v>16</v>
      </c>
      <c r="E546" s="27" t="s">
        <v>322</v>
      </c>
      <c r="F546" s="27" t="s">
        <v>65</v>
      </c>
      <c r="G546" s="28">
        <v>1500</v>
      </c>
      <c r="H546" s="28">
        <v>1500</v>
      </c>
      <c r="I546" s="28">
        <v>1500</v>
      </c>
      <c r="K546" s="114"/>
    </row>
    <row r="547" spans="1:15" s="7" customFormat="1" ht="38.25" x14ac:dyDescent="0.2">
      <c r="A547" s="18" t="s">
        <v>325</v>
      </c>
      <c r="B547" s="22">
        <v>919</v>
      </c>
      <c r="C547" s="19" t="s">
        <v>31</v>
      </c>
      <c r="D547" s="19" t="s">
        <v>16</v>
      </c>
      <c r="E547" s="16" t="s">
        <v>324</v>
      </c>
      <c r="F547" s="19"/>
      <c r="G547" s="20">
        <f>G548</f>
        <v>9690</v>
      </c>
      <c r="H547" s="20">
        <f>H548</f>
        <v>5660</v>
      </c>
      <c r="I547" s="20">
        <f>I548</f>
        <v>5660</v>
      </c>
      <c r="J547" s="21"/>
      <c r="K547" s="116"/>
      <c r="L547" s="21"/>
      <c r="M547" s="21"/>
      <c r="N547" s="21"/>
      <c r="O547" s="21"/>
    </row>
    <row r="548" spans="1:15" s="29" customFormat="1" ht="25.5" x14ac:dyDescent="0.2">
      <c r="A548" s="31" t="s">
        <v>144</v>
      </c>
      <c r="B548" s="35">
        <v>919</v>
      </c>
      <c r="C548" s="27" t="s">
        <v>31</v>
      </c>
      <c r="D548" s="27" t="s">
        <v>16</v>
      </c>
      <c r="E548" s="16" t="s">
        <v>324</v>
      </c>
      <c r="F548" s="27" t="s">
        <v>65</v>
      </c>
      <c r="G548" s="28">
        <f>5660+30+4000</f>
        <v>9690</v>
      </c>
      <c r="H548" s="28">
        <v>5660</v>
      </c>
      <c r="I548" s="28">
        <v>5660</v>
      </c>
      <c r="K548" s="116"/>
    </row>
    <row r="549" spans="1:15" x14ac:dyDescent="0.2">
      <c r="A549" s="18" t="s">
        <v>417</v>
      </c>
      <c r="B549" s="18">
        <v>919</v>
      </c>
      <c r="C549" s="19" t="s">
        <v>31</v>
      </c>
      <c r="D549" s="19" t="s">
        <v>16</v>
      </c>
      <c r="E549" s="16" t="s">
        <v>418</v>
      </c>
      <c r="F549" s="19"/>
      <c r="G549" s="20">
        <f>G550</f>
        <v>225.4</v>
      </c>
      <c r="H549" s="20">
        <f t="shared" ref="H549:I549" si="70">H550</f>
        <v>0</v>
      </c>
      <c r="I549" s="20">
        <f t="shared" si="70"/>
        <v>0</v>
      </c>
    </row>
    <row r="550" spans="1:15" ht="25.5" x14ac:dyDescent="0.2">
      <c r="A550" s="31" t="s">
        <v>144</v>
      </c>
      <c r="B550" s="31">
        <v>919</v>
      </c>
      <c r="C550" s="27" t="s">
        <v>31</v>
      </c>
      <c r="D550" s="27" t="s">
        <v>16</v>
      </c>
      <c r="E550" s="16" t="s">
        <v>418</v>
      </c>
      <c r="F550" s="27" t="s">
        <v>65</v>
      </c>
      <c r="G550" s="28">
        <v>225.4</v>
      </c>
      <c r="H550" s="28">
        <v>0</v>
      </c>
      <c r="I550" s="28">
        <v>0</v>
      </c>
    </row>
    <row r="551" spans="1:15" s="9" customFormat="1" ht="25.5" x14ac:dyDescent="0.2">
      <c r="A551" s="11" t="s">
        <v>36</v>
      </c>
      <c r="B551" s="14">
        <v>919</v>
      </c>
      <c r="C551" s="8" t="s">
        <v>31</v>
      </c>
      <c r="D551" s="8" t="s">
        <v>31</v>
      </c>
      <c r="E551" s="8"/>
      <c r="F551" s="8"/>
      <c r="G551" s="4">
        <f>G552+G554+G558</f>
        <v>27000</v>
      </c>
      <c r="H551" s="4">
        <f>H552+H554+H558</f>
        <v>22025.300000000003</v>
      </c>
      <c r="I551" s="4">
        <f>I552+I554+I558</f>
        <v>22025.300000000003</v>
      </c>
      <c r="J551" s="29"/>
      <c r="K551" s="116"/>
      <c r="L551" s="29"/>
      <c r="M551" s="29"/>
      <c r="N551" s="29"/>
      <c r="O551" s="29"/>
    </row>
    <row r="552" spans="1:15" ht="38.25" x14ac:dyDescent="0.2">
      <c r="A552" s="18" t="s">
        <v>327</v>
      </c>
      <c r="B552" s="22">
        <v>919</v>
      </c>
      <c r="C552" s="19" t="s">
        <v>31</v>
      </c>
      <c r="D552" s="19" t="s">
        <v>31</v>
      </c>
      <c r="E552" s="19" t="s">
        <v>326</v>
      </c>
      <c r="F552" s="19"/>
      <c r="G552" s="20">
        <f>G553</f>
        <v>7264.9</v>
      </c>
      <c r="H552" s="20">
        <f>H553</f>
        <v>6359.7</v>
      </c>
      <c r="I552" s="20">
        <f>I553</f>
        <v>6359.7</v>
      </c>
      <c r="J552" s="29"/>
      <c r="K552" s="116"/>
      <c r="L552" s="29"/>
      <c r="M552" s="29"/>
      <c r="N552" s="29"/>
      <c r="O552" s="29"/>
    </row>
    <row r="553" spans="1:15" s="29" customFormat="1" ht="25.5" x14ac:dyDescent="0.2">
      <c r="A553" s="31" t="s">
        <v>144</v>
      </c>
      <c r="B553" s="35">
        <v>919</v>
      </c>
      <c r="C553" s="27" t="s">
        <v>31</v>
      </c>
      <c r="D553" s="27" t="s">
        <v>31</v>
      </c>
      <c r="E553" s="27" t="s">
        <v>326</v>
      </c>
      <c r="F553" s="27" t="s">
        <v>65</v>
      </c>
      <c r="G553" s="28">
        <f>6299.2+60.5+7.8+890.4+7</f>
        <v>7264.9</v>
      </c>
      <c r="H553" s="28">
        <f>6299.2+60.5</f>
        <v>6359.7</v>
      </c>
      <c r="I553" s="28">
        <f>6299.2+60.5</f>
        <v>6359.7</v>
      </c>
      <c r="J553" s="12"/>
      <c r="K553" s="116"/>
      <c r="L553" s="12"/>
      <c r="M553" s="12"/>
      <c r="N553" s="12"/>
      <c r="O553" s="12"/>
    </row>
    <row r="554" spans="1:15" ht="23.25" customHeight="1" x14ac:dyDescent="0.2">
      <c r="A554" s="18" t="s">
        <v>329</v>
      </c>
      <c r="B554" s="22">
        <v>919</v>
      </c>
      <c r="C554" s="19" t="s">
        <v>31</v>
      </c>
      <c r="D554" s="19" t="s">
        <v>31</v>
      </c>
      <c r="E554" s="19" t="s">
        <v>328</v>
      </c>
      <c r="F554" s="19"/>
      <c r="G554" s="20">
        <f>G555+G557+G556</f>
        <v>5110.3999999999996</v>
      </c>
      <c r="H554" s="20">
        <f t="shared" ref="H554:I554" si="71">H555+H557+H556</f>
        <v>4434.2</v>
      </c>
      <c r="I554" s="20">
        <f t="shared" si="71"/>
        <v>4434.2</v>
      </c>
      <c r="J554" s="29"/>
      <c r="K554" s="116"/>
      <c r="L554" s="29"/>
      <c r="M554" s="29"/>
      <c r="N554" s="29"/>
      <c r="O554" s="29"/>
    </row>
    <row r="555" spans="1:15" s="29" customFormat="1" ht="54" customHeight="1" x14ac:dyDescent="0.2">
      <c r="A555" s="34" t="s">
        <v>66</v>
      </c>
      <c r="B555" s="36">
        <v>919</v>
      </c>
      <c r="C555" s="27" t="s">
        <v>31</v>
      </c>
      <c r="D555" s="27" t="s">
        <v>31</v>
      </c>
      <c r="E555" s="27" t="s">
        <v>328</v>
      </c>
      <c r="F555" s="27" t="s">
        <v>67</v>
      </c>
      <c r="G555" s="28">
        <f>3230.8+975.7+0.8+40.5+530.9</f>
        <v>4778.7</v>
      </c>
      <c r="H555" s="28">
        <f>3230.8+975.7+0.8+40.5</f>
        <v>4247.8</v>
      </c>
      <c r="I555" s="28">
        <f>3230.8+975.7+0.8+40.5</f>
        <v>4247.8</v>
      </c>
      <c r="J555" s="12"/>
      <c r="K555" s="116"/>
      <c r="L555" s="12"/>
      <c r="M555" s="12"/>
      <c r="N555" s="12"/>
      <c r="O555" s="12"/>
    </row>
    <row r="556" spans="1:15" s="29" customFormat="1" ht="25.5" x14ac:dyDescent="0.2">
      <c r="A556" s="31" t="s">
        <v>76</v>
      </c>
      <c r="B556" s="36">
        <v>919</v>
      </c>
      <c r="C556" s="27" t="s">
        <v>31</v>
      </c>
      <c r="D556" s="27" t="s">
        <v>31</v>
      </c>
      <c r="E556" s="27" t="s">
        <v>328</v>
      </c>
      <c r="F556" s="27" t="s">
        <v>68</v>
      </c>
      <c r="G556" s="28">
        <f>40+0.8+8+62.4+46+30-0.8+15-0.5+10+120.3</f>
        <v>331.2</v>
      </c>
      <c r="H556" s="28">
        <f>40+0.8+8+62.4+46+30-0.8</f>
        <v>186.39999999999998</v>
      </c>
      <c r="I556" s="28">
        <f>40+0.8+8+62.4+46+30-0.8</f>
        <v>186.39999999999998</v>
      </c>
      <c r="K556" s="116"/>
    </row>
    <row r="557" spans="1:15" s="29" customFormat="1" x14ac:dyDescent="0.2">
      <c r="A557" s="31" t="s">
        <v>72</v>
      </c>
      <c r="B557" s="36">
        <v>919</v>
      </c>
      <c r="C557" s="27" t="s">
        <v>31</v>
      </c>
      <c r="D557" s="27" t="s">
        <v>31</v>
      </c>
      <c r="E557" s="27" t="s">
        <v>328</v>
      </c>
      <c r="F557" s="27" t="s">
        <v>73</v>
      </c>
      <c r="G557" s="28">
        <v>0.5</v>
      </c>
      <c r="H557" s="28">
        <v>0</v>
      </c>
      <c r="I557" s="28">
        <v>0</v>
      </c>
      <c r="K557" s="114"/>
    </row>
    <row r="558" spans="1:15" s="12" customFormat="1" ht="38.25" x14ac:dyDescent="0.2">
      <c r="A558" s="18" t="s">
        <v>331</v>
      </c>
      <c r="B558" s="22">
        <v>919</v>
      </c>
      <c r="C558" s="19" t="s">
        <v>31</v>
      </c>
      <c r="D558" s="19" t="s">
        <v>31</v>
      </c>
      <c r="E558" s="19" t="s">
        <v>330</v>
      </c>
      <c r="F558" s="5"/>
      <c r="G558" s="6">
        <f>G559</f>
        <v>14624.700000000003</v>
      </c>
      <c r="H558" s="6">
        <f>H559</f>
        <v>11231.400000000001</v>
      </c>
      <c r="I558" s="6">
        <f>I559</f>
        <v>11231.400000000001</v>
      </c>
      <c r="J558" s="3"/>
      <c r="K558" s="116"/>
      <c r="L558" s="3"/>
      <c r="M558" s="3"/>
      <c r="N558" s="3"/>
      <c r="O558" s="3"/>
    </row>
    <row r="559" spans="1:15" s="29" customFormat="1" ht="25.5" x14ac:dyDescent="0.2">
      <c r="A559" s="31" t="s">
        <v>144</v>
      </c>
      <c r="B559" s="35">
        <v>919</v>
      </c>
      <c r="C559" s="27" t="s">
        <v>31</v>
      </c>
      <c r="D559" s="27" t="s">
        <v>31</v>
      </c>
      <c r="E559" s="27" t="s">
        <v>330</v>
      </c>
      <c r="F559" s="27" t="s">
        <v>65</v>
      </c>
      <c r="G559" s="28">
        <f>11136.2+95.2+1831.1+658+904.2</f>
        <v>14624.700000000003</v>
      </c>
      <c r="H559" s="28">
        <f>11136.2+95.2</f>
        <v>11231.400000000001</v>
      </c>
      <c r="I559" s="28">
        <f>11136.2+95.2</f>
        <v>11231.400000000001</v>
      </c>
      <c r="J559" s="21"/>
      <c r="K559" s="116"/>
      <c r="L559" s="21"/>
      <c r="M559" s="21"/>
      <c r="N559" s="21"/>
      <c r="O559" s="21"/>
    </row>
    <row r="560" spans="1:15" s="9" customFormat="1" x14ac:dyDescent="0.2">
      <c r="A560" s="11" t="s">
        <v>52</v>
      </c>
      <c r="B560" s="14">
        <v>919</v>
      </c>
      <c r="C560" s="8" t="s">
        <v>51</v>
      </c>
      <c r="D560" s="8"/>
      <c r="E560" s="8"/>
      <c r="F560" s="8"/>
      <c r="G560" s="4">
        <f>G561+G565</f>
        <v>2494.5516199999997</v>
      </c>
      <c r="H560" s="4">
        <f>H561+H565</f>
        <v>3774.4999999999995</v>
      </c>
      <c r="I560" s="4">
        <f>I561+I565</f>
        <v>3774.4999999999995</v>
      </c>
      <c r="J560" s="21"/>
      <c r="K560" s="116"/>
      <c r="L560" s="21"/>
      <c r="M560" s="21"/>
      <c r="N560" s="21"/>
      <c r="O560" s="21"/>
    </row>
    <row r="561" spans="1:15" s="3" customFormat="1" x14ac:dyDescent="0.2">
      <c r="A561" s="13" t="s">
        <v>55</v>
      </c>
      <c r="B561" s="49">
        <v>919</v>
      </c>
      <c r="C561" s="1" t="s">
        <v>51</v>
      </c>
      <c r="D561" s="1" t="s">
        <v>16</v>
      </c>
      <c r="E561" s="1"/>
      <c r="F561" s="1"/>
      <c r="G561" s="2">
        <f t="shared" ref="G561:I561" si="72">G562</f>
        <v>175</v>
      </c>
      <c r="H561" s="2">
        <f t="shared" si="72"/>
        <v>175</v>
      </c>
      <c r="I561" s="2">
        <f t="shared" si="72"/>
        <v>175</v>
      </c>
      <c r="J561" s="29"/>
      <c r="K561" s="116"/>
      <c r="L561" s="29"/>
      <c r="M561" s="29"/>
      <c r="N561" s="29"/>
      <c r="O561" s="29"/>
    </row>
    <row r="562" spans="1:15" ht="63.75" x14ac:dyDescent="0.2">
      <c r="A562" s="18" t="s">
        <v>286</v>
      </c>
      <c r="B562" s="63">
        <v>919</v>
      </c>
      <c r="C562" s="19" t="s">
        <v>51</v>
      </c>
      <c r="D562" s="19" t="s">
        <v>16</v>
      </c>
      <c r="E562" s="19" t="s">
        <v>92</v>
      </c>
      <c r="F562" s="19"/>
      <c r="G562" s="20">
        <f>G564</f>
        <v>175</v>
      </c>
      <c r="H562" s="20">
        <f t="shared" ref="H562:I562" si="73">H564</f>
        <v>175</v>
      </c>
      <c r="I562" s="20">
        <f t="shared" si="73"/>
        <v>175</v>
      </c>
      <c r="K562" s="116"/>
    </row>
    <row r="563" spans="1:15" s="29" customFormat="1" x14ac:dyDescent="0.2">
      <c r="A563" s="31" t="s">
        <v>69</v>
      </c>
      <c r="B563" s="35">
        <v>919</v>
      </c>
      <c r="C563" s="27" t="s">
        <v>51</v>
      </c>
      <c r="D563" s="27" t="s">
        <v>16</v>
      </c>
      <c r="E563" s="19" t="s">
        <v>92</v>
      </c>
      <c r="F563" s="27" t="s">
        <v>70</v>
      </c>
      <c r="G563" s="28">
        <f>175-175</f>
        <v>0</v>
      </c>
      <c r="H563" s="28">
        <f>175-175</f>
        <v>0</v>
      </c>
      <c r="I563" s="28">
        <f>175-175</f>
        <v>0</v>
      </c>
      <c r="K563" s="116"/>
    </row>
    <row r="564" spans="1:15" s="29" customFormat="1" x14ac:dyDescent="0.2">
      <c r="A564" s="31" t="s">
        <v>72</v>
      </c>
      <c r="B564" s="35">
        <v>919</v>
      </c>
      <c r="C564" s="27" t="s">
        <v>51</v>
      </c>
      <c r="D564" s="27" t="s">
        <v>16</v>
      </c>
      <c r="E564" s="19" t="s">
        <v>92</v>
      </c>
      <c r="F564" s="27" t="s">
        <v>73</v>
      </c>
      <c r="G564" s="28">
        <v>175</v>
      </c>
      <c r="H564" s="28">
        <v>175</v>
      </c>
      <c r="I564" s="28">
        <v>175</v>
      </c>
      <c r="K564" s="116"/>
    </row>
    <row r="565" spans="1:15" s="9" customFormat="1" x14ac:dyDescent="0.2">
      <c r="A565" s="11" t="s">
        <v>57</v>
      </c>
      <c r="B565" s="14">
        <v>919</v>
      </c>
      <c r="C565" s="8" t="s">
        <v>51</v>
      </c>
      <c r="D565" s="8" t="s">
        <v>50</v>
      </c>
      <c r="E565" s="8"/>
      <c r="F565" s="8"/>
      <c r="G565" s="4">
        <f>G566+G568+G570</f>
        <v>2319.5516199999997</v>
      </c>
      <c r="H565" s="4">
        <f>H566+H568+H570</f>
        <v>3599.4999999999995</v>
      </c>
      <c r="I565" s="4">
        <f>I566+I568+I570</f>
        <v>3599.4999999999995</v>
      </c>
      <c r="J565" s="21"/>
      <c r="K565" s="114"/>
      <c r="L565" s="21"/>
      <c r="M565" s="21"/>
      <c r="N565" s="21"/>
      <c r="O565" s="21"/>
    </row>
    <row r="566" spans="1:15" x14ac:dyDescent="0.2">
      <c r="A566" s="18" t="s">
        <v>332</v>
      </c>
      <c r="B566" s="22">
        <v>919</v>
      </c>
      <c r="C566" s="19" t="s">
        <v>51</v>
      </c>
      <c r="D566" s="19" t="s">
        <v>50</v>
      </c>
      <c r="E566" s="19" t="s">
        <v>333</v>
      </c>
      <c r="F566" s="19"/>
      <c r="G566" s="20">
        <f>G567</f>
        <v>814.7</v>
      </c>
      <c r="H566" s="20">
        <f>H567</f>
        <v>814.7</v>
      </c>
      <c r="I566" s="20">
        <f>I567</f>
        <v>814.7</v>
      </c>
      <c r="K566" s="114"/>
      <c r="N566" s="29"/>
      <c r="O566" s="29"/>
    </row>
    <row r="567" spans="1:15" s="29" customFormat="1" ht="14.25" x14ac:dyDescent="0.2">
      <c r="A567" s="31" t="s">
        <v>69</v>
      </c>
      <c r="B567" s="35">
        <v>919</v>
      </c>
      <c r="C567" s="27" t="s">
        <v>51</v>
      </c>
      <c r="D567" s="27" t="s">
        <v>50</v>
      </c>
      <c r="E567" s="27" t="s">
        <v>333</v>
      </c>
      <c r="F567" s="27" t="s">
        <v>70</v>
      </c>
      <c r="G567" s="28">
        <v>814.7</v>
      </c>
      <c r="H567" s="28">
        <v>814.7</v>
      </c>
      <c r="I567" s="28">
        <v>814.7</v>
      </c>
      <c r="J567" s="38"/>
      <c r="K567" s="114"/>
      <c r="L567" s="15"/>
      <c r="M567" s="15"/>
      <c r="N567" s="15"/>
      <c r="O567" s="15"/>
    </row>
    <row r="568" spans="1:15" ht="25.5" x14ac:dyDescent="0.2">
      <c r="A568" s="18" t="s">
        <v>335</v>
      </c>
      <c r="B568" s="18">
        <v>919</v>
      </c>
      <c r="C568" s="19" t="s">
        <v>51</v>
      </c>
      <c r="D568" s="19" t="s">
        <v>50</v>
      </c>
      <c r="E568" s="19" t="s">
        <v>334</v>
      </c>
      <c r="F568" s="19"/>
      <c r="G568" s="20">
        <f>G569</f>
        <v>1426.7516199999998</v>
      </c>
      <c r="H568" s="20">
        <f>H569</f>
        <v>2706.7</v>
      </c>
      <c r="I568" s="20">
        <f>I569</f>
        <v>2706.7</v>
      </c>
      <c r="J568" s="23"/>
      <c r="K568" s="114"/>
    </row>
    <row r="569" spans="1:15" s="29" customFormat="1" x14ac:dyDescent="0.2">
      <c r="A569" s="31" t="s">
        <v>69</v>
      </c>
      <c r="B569" s="31">
        <v>919</v>
      </c>
      <c r="C569" s="27" t="s">
        <v>51</v>
      </c>
      <c r="D569" s="27" t="s">
        <v>50</v>
      </c>
      <c r="E569" s="27" t="s">
        <v>334</v>
      </c>
      <c r="F569" s="27" t="s">
        <v>70</v>
      </c>
      <c r="G569" s="28">
        <f>2706.7-1279.94838</f>
        <v>1426.7516199999998</v>
      </c>
      <c r="H569" s="28">
        <v>2706.7</v>
      </c>
      <c r="I569" s="28">
        <v>2706.7</v>
      </c>
      <c r="J569" s="23"/>
      <c r="K569" s="114"/>
      <c r="L569" s="21"/>
      <c r="M569" s="21"/>
      <c r="N569" s="21"/>
      <c r="O569" s="21"/>
    </row>
    <row r="570" spans="1:15" ht="76.5" x14ac:dyDescent="0.2">
      <c r="A570" s="89" t="s">
        <v>337</v>
      </c>
      <c r="B570" s="69">
        <v>919</v>
      </c>
      <c r="C570" s="19" t="s">
        <v>51</v>
      </c>
      <c r="D570" s="19" t="s">
        <v>50</v>
      </c>
      <c r="E570" s="19" t="s">
        <v>336</v>
      </c>
      <c r="F570" s="19"/>
      <c r="G570" s="20">
        <f>G571</f>
        <v>78.099999999999994</v>
      </c>
      <c r="H570" s="20">
        <f>H571</f>
        <v>78.099999999999994</v>
      </c>
      <c r="I570" s="20">
        <f>I571</f>
        <v>78.099999999999994</v>
      </c>
      <c r="K570" s="114"/>
    </row>
    <row r="571" spans="1:15" s="29" customFormat="1" x14ac:dyDescent="0.2">
      <c r="A571" s="75" t="s">
        <v>69</v>
      </c>
      <c r="B571" s="31">
        <v>919</v>
      </c>
      <c r="C571" s="27" t="s">
        <v>51</v>
      </c>
      <c r="D571" s="27" t="s">
        <v>50</v>
      </c>
      <c r="E571" s="27" t="s">
        <v>336</v>
      </c>
      <c r="F571" s="27" t="s">
        <v>70</v>
      </c>
      <c r="G571" s="28">
        <v>78.099999999999994</v>
      </c>
      <c r="H571" s="28">
        <v>78.099999999999994</v>
      </c>
      <c r="I571" s="28">
        <v>78.099999999999994</v>
      </c>
      <c r="J571" s="23"/>
      <c r="K571" s="114"/>
      <c r="L571" s="21"/>
      <c r="M571" s="21"/>
      <c r="N571" s="21"/>
      <c r="O571" s="21"/>
    </row>
    <row r="572" spans="1:15" s="15" customFormat="1" ht="14.25" customHeight="1" x14ac:dyDescent="0.25">
      <c r="A572" s="40" t="s">
        <v>58</v>
      </c>
      <c r="B572" s="52"/>
      <c r="C572" s="41"/>
      <c r="D572" s="41"/>
      <c r="E572" s="41"/>
      <c r="F572" s="41"/>
      <c r="G572" s="112">
        <f>G491+G377+G337+G227+G213+G204+G165+G134+G15</f>
        <v>2984341.0494300006</v>
      </c>
      <c r="H572" s="42">
        <f>H491+H377+H337+H227+H213+H204+H165+H134+H15</f>
        <v>2338074.6</v>
      </c>
      <c r="I572" s="42">
        <f>I491+I377+I337+I227+I213+I204+I165+I134+I15</f>
        <v>2308087.0999999996</v>
      </c>
      <c r="J572" s="23"/>
      <c r="K572" s="114"/>
      <c r="L572" s="21"/>
      <c r="M572" s="21"/>
      <c r="N572" s="21"/>
      <c r="O572" s="21"/>
    </row>
    <row r="573" spans="1:15" x14ac:dyDescent="0.2">
      <c r="G573" s="62"/>
      <c r="H573" s="62"/>
      <c r="I573" s="62"/>
      <c r="J573" s="23"/>
      <c r="K573" s="116"/>
    </row>
    <row r="574" spans="1:15" x14ac:dyDescent="0.2">
      <c r="G574" s="62"/>
      <c r="H574" s="62"/>
      <c r="I574" s="62"/>
      <c r="J574" s="23"/>
      <c r="K574" s="116"/>
    </row>
    <row r="575" spans="1:15" x14ac:dyDescent="0.2">
      <c r="G575" s="113">
        <f>2733437.34943+1285.2+2464+4032.5+4357.8+100-150+52829.3+39.9+5569+15403.9-3485.2+250.3+2724+62307.1+4000+45.7+1332.2+83.7+153.5+10000+120.3+658+284.8+551+52.6+140.8+69.1+1200+1217.8-4519.5+1921.9+3864+918.1+245.1+47198.6+1616.8+236.2+28867.2+1326.6+1591.4</f>
        <v>2984341.0494299997</v>
      </c>
      <c r="H575" s="62">
        <f>2338074.6</f>
        <v>2338074.6</v>
      </c>
      <c r="I575" s="62">
        <f>2308087.1</f>
        <v>2308087.1</v>
      </c>
      <c r="J575" s="23"/>
      <c r="K575" s="116"/>
    </row>
    <row r="576" spans="1:15" x14ac:dyDescent="0.2">
      <c r="G576" s="113">
        <f>G575-G572</f>
        <v>0</v>
      </c>
      <c r="H576" s="62">
        <f>H575-H572</f>
        <v>0</v>
      </c>
      <c r="I576" s="62">
        <f>I575-I572</f>
        <v>0</v>
      </c>
      <c r="J576" s="23"/>
      <c r="K576" s="116"/>
    </row>
    <row r="577" spans="1:11" ht="24" customHeight="1" x14ac:dyDescent="0.2">
      <c r="A577" s="39" t="s">
        <v>64</v>
      </c>
      <c r="B577" s="37"/>
      <c r="F577" s="62"/>
      <c r="G577" s="67"/>
      <c r="H577" s="67"/>
      <c r="I577" s="71" t="s">
        <v>80</v>
      </c>
      <c r="J577" s="23"/>
      <c r="K577" s="116"/>
    </row>
    <row r="578" spans="1:11" x14ac:dyDescent="0.2">
      <c r="J578" s="23"/>
      <c r="K578" s="116"/>
    </row>
    <row r="579" spans="1:11" x14ac:dyDescent="0.2">
      <c r="E579" s="37" t="s">
        <v>6</v>
      </c>
      <c r="J579" s="23"/>
      <c r="K579" s="23"/>
    </row>
    <row r="580" spans="1:11" x14ac:dyDescent="0.2">
      <c r="G580" s="62"/>
      <c r="H580" s="62"/>
      <c r="I580" s="62"/>
    </row>
    <row r="581" spans="1:11" x14ac:dyDescent="0.2">
      <c r="G581" s="62"/>
      <c r="H581" s="62"/>
      <c r="I581" s="62"/>
    </row>
    <row r="583" spans="1:11" x14ac:dyDescent="0.2">
      <c r="G583" s="62"/>
      <c r="H583" s="62"/>
      <c r="I583" s="62"/>
    </row>
    <row r="584" spans="1:11" x14ac:dyDescent="0.2">
      <c r="C584" s="21"/>
      <c r="D584" s="21"/>
      <c r="E584" s="21"/>
      <c r="F584" s="21"/>
      <c r="G584" s="21"/>
      <c r="H584" s="21"/>
      <c r="I584" s="21"/>
    </row>
    <row r="585" spans="1:11" x14ac:dyDescent="0.2">
      <c r="C585" s="21"/>
      <c r="D585" s="21"/>
      <c r="E585" s="21"/>
      <c r="F585" s="21"/>
      <c r="G585" s="21"/>
      <c r="H585" s="21"/>
      <c r="I585" s="21"/>
    </row>
    <row r="586" spans="1:11" x14ac:dyDescent="0.2">
      <c r="C586" s="21"/>
      <c r="D586" s="21"/>
      <c r="E586" s="21"/>
      <c r="F586" s="21"/>
      <c r="G586" s="21"/>
      <c r="H586" s="21"/>
      <c r="I586" s="21"/>
    </row>
    <row r="587" spans="1:11" x14ac:dyDescent="0.2">
      <c r="C587" s="21"/>
      <c r="D587" s="21"/>
      <c r="E587" s="21"/>
      <c r="F587" s="21"/>
      <c r="G587" s="21"/>
      <c r="H587" s="21"/>
      <c r="I587" s="21"/>
    </row>
  </sheetData>
  <mergeCells count="18">
    <mergeCell ref="G12:G13"/>
    <mergeCell ref="H12:H13"/>
    <mergeCell ref="I12:I13"/>
    <mergeCell ref="A12:A13"/>
    <mergeCell ref="B12:B13"/>
    <mergeCell ref="C12:C13"/>
    <mergeCell ref="D12:D13"/>
    <mergeCell ref="E12:E13"/>
    <mergeCell ref="F12:F13"/>
    <mergeCell ref="A1:I1"/>
    <mergeCell ref="A2:I2"/>
    <mergeCell ref="A3:I3"/>
    <mergeCell ref="A11:G11"/>
    <mergeCell ref="A5:I5"/>
    <mergeCell ref="A6:I6"/>
    <mergeCell ref="A7:I7"/>
    <mergeCell ref="A9:I9"/>
    <mergeCell ref="A10:I10"/>
  </mergeCells>
  <pageMargins left="0.78740157480314965" right="0.39370078740157483" top="0.59055118110236227" bottom="0.94488188976377963" header="0.31496062992125984" footer="0.31496062992125984"/>
  <pageSetup paperSize="9" scale="64" fitToHeight="32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A27" sqref="A1:I27"/>
    </sheetView>
  </sheetViews>
  <sheetFormatPr defaultColWidth="9.140625" defaultRowHeight="12.75" x14ac:dyDescent="0.2"/>
  <cols>
    <col min="1" max="1" width="53.5703125" style="21" customWidth="1"/>
    <col min="2" max="2" width="6.28515625" style="21" customWidth="1"/>
    <col min="3" max="3" width="4.85546875" style="37" customWidth="1"/>
    <col min="4" max="4" width="6.140625" style="37" customWidth="1"/>
    <col min="5" max="5" width="15.42578125" style="37" customWidth="1"/>
    <col min="6" max="6" width="5.85546875" style="37" customWidth="1"/>
    <col min="7" max="7" width="21.5703125" style="37" customWidth="1"/>
    <col min="8" max="9" width="14.28515625" style="37" customWidth="1"/>
    <col min="10" max="10" width="55.85546875" style="21" customWidth="1"/>
    <col min="11" max="11" width="10.28515625" style="21" customWidth="1"/>
    <col min="12" max="12" width="10.42578125" style="21" customWidth="1"/>
    <col min="13" max="14" width="9.140625" style="21" customWidth="1"/>
    <col min="15" max="16384" width="9.140625" style="21"/>
  </cols>
  <sheetData>
    <row r="1" spans="1:15" ht="15.75" x14ac:dyDescent="0.25">
      <c r="A1" s="130" t="s">
        <v>421</v>
      </c>
      <c r="B1" s="130"/>
      <c r="C1" s="130"/>
      <c r="D1" s="130"/>
      <c r="E1" s="130"/>
      <c r="F1" s="130"/>
      <c r="G1" s="130"/>
      <c r="H1" s="130"/>
      <c r="I1" s="130"/>
    </row>
    <row r="2" spans="1:15" ht="15.75" x14ac:dyDescent="0.25">
      <c r="A2" s="130" t="s">
        <v>78</v>
      </c>
      <c r="B2" s="130"/>
      <c r="C2" s="130"/>
      <c r="D2" s="130"/>
      <c r="E2" s="130"/>
      <c r="F2" s="130"/>
      <c r="G2" s="130"/>
      <c r="H2" s="130"/>
      <c r="I2" s="130"/>
    </row>
    <row r="3" spans="1:15" ht="15.75" x14ac:dyDescent="0.25">
      <c r="A3" s="130" t="s">
        <v>411</v>
      </c>
      <c r="B3" s="130"/>
      <c r="C3" s="130"/>
      <c r="D3" s="130"/>
      <c r="E3" s="130"/>
      <c r="F3" s="130"/>
      <c r="G3" s="130"/>
      <c r="H3" s="130"/>
      <c r="I3" s="130"/>
    </row>
    <row r="5" spans="1:15" ht="12.75" customHeight="1" x14ac:dyDescent="0.2">
      <c r="A5" s="133" t="s">
        <v>85</v>
      </c>
      <c r="B5" s="133"/>
      <c r="C5" s="133"/>
      <c r="D5" s="133"/>
      <c r="E5" s="133"/>
      <c r="F5" s="133"/>
      <c r="G5" s="133"/>
      <c r="H5" s="133"/>
      <c r="I5" s="133"/>
    </row>
    <row r="6" spans="1:15" ht="12.75" customHeight="1" x14ac:dyDescent="0.2">
      <c r="A6" s="133" t="s">
        <v>78</v>
      </c>
      <c r="B6" s="133"/>
      <c r="C6" s="133"/>
      <c r="D6" s="133"/>
      <c r="E6" s="133"/>
      <c r="F6" s="133"/>
      <c r="G6" s="133"/>
      <c r="H6" s="133"/>
      <c r="I6" s="133"/>
    </row>
    <row r="7" spans="1:15" ht="12.75" customHeight="1" x14ac:dyDescent="0.2">
      <c r="A7" s="133" t="s">
        <v>412</v>
      </c>
      <c r="B7" s="133"/>
      <c r="C7" s="133"/>
      <c r="D7" s="133"/>
      <c r="E7" s="133"/>
      <c r="F7" s="133"/>
      <c r="G7" s="133"/>
      <c r="H7" s="133"/>
      <c r="I7" s="133"/>
    </row>
    <row r="8" spans="1:15" ht="12.75" customHeight="1" x14ac:dyDescent="0.2">
      <c r="I8" s="70"/>
    </row>
    <row r="9" spans="1:15" s="24" customFormat="1" ht="18.75" x14ac:dyDescent="0.3">
      <c r="A9" s="131" t="s">
        <v>84</v>
      </c>
      <c r="B9" s="131"/>
      <c r="C9" s="131"/>
      <c r="D9" s="131"/>
      <c r="E9" s="131"/>
      <c r="F9" s="131"/>
      <c r="G9" s="131"/>
      <c r="H9" s="131"/>
      <c r="I9" s="131"/>
    </row>
    <row r="10" spans="1:15" s="24" customFormat="1" ht="18.75" x14ac:dyDescent="0.3">
      <c r="A10" s="132" t="s">
        <v>380</v>
      </c>
      <c r="B10" s="132"/>
      <c r="C10" s="132"/>
      <c r="D10" s="132"/>
      <c r="E10" s="132"/>
      <c r="F10" s="132"/>
      <c r="G10" s="132"/>
      <c r="H10" s="132"/>
      <c r="I10" s="132"/>
    </row>
    <row r="11" spans="1:15" s="25" customFormat="1" ht="13.5" thickBot="1" x14ac:dyDescent="0.25">
      <c r="A11" s="129"/>
      <c r="B11" s="129"/>
      <c r="C11" s="129"/>
      <c r="D11" s="129"/>
      <c r="E11" s="129"/>
      <c r="F11" s="129"/>
      <c r="G11" s="129"/>
      <c r="I11" s="118" t="s">
        <v>62</v>
      </c>
    </row>
    <row r="12" spans="1:15" ht="13.5" customHeight="1" x14ac:dyDescent="0.2">
      <c r="A12" s="125"/>
      <c r="B12" s="127" t="s">
        <v>59</v>
      </c>
      <c r="C12" s="127" t="s">
        <v>8</v>
      </c>
      <c r="D12" s="127" t="s">
        <v>9</v>
      </c>
      <c r="E12" s="127" t="s">
        <v>10</v>
      </c>
      <c r="F12" s="127" t="s">
        <v>11</v>
      </c>
      <c r="G12" s="123" t="s">
        <v>142</v>
      </c>
      <c r="H12" s="123" t="s">
        <v>143</v>
      </c>
      <c r="I12" s="123" t="s">
        <v>379</v>
      </c>
    </row>
    <row r="13" spans="1:15" x14ac:dyDescent="0.2">
      <c r="A13" s="126"/>
      <c r="B13" s="128"/>
      <c r="C13" s="128"/>
      <c r="D13" s="128"/>
      <c r="E13" s="128"/>
      <c r="F13" s="128"/>
      <c r="G13" s="124"/>
      <c r="H13" s="124"/>
      <c r="I13" s="124"/>
    </row>
    <row r="14" spans="1:15" s="85" customFormat="1" ht="12" x14ac:dyDescent="0.2">
      <c r="A14" s="83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4">
        <v>7</v>
      </c>
      <c r="H14" s="84">
        <v>8</v>
      </c>
      <c r="I14" s="84">
        <v>9</v>
      </c>
    </row>
    <row r="15" spans="1:15" s="9" customFormat="1" ht="30.75" customHeight="1" x14ac:dyDescent="0.2">
      <c r="A15" s="47" t="s">
        <v>48</v>
      </c>
      <c r="B15" s="44">
        <v>919</v>
      </c>
      <c r="C15" s="48"/>
      <c r="D15" s="48"/>
      <c r="E15" s="48"/>
      <c r="F15" s="48"/>
      <c r="G15" s="46">
        <v>481462.53542999999</v>
      </c>
      <c r="H15" s="46">
        <v>106172.5</v>
      </c>
      <c r="I15" s="46">
        <v>85014.800000000017</v>
      </c>
      <c r="K15" s="114"/>
    </row>
    <row r="16" spans="1:15" s="3" customFormat="1" x14ac:dyDescent="0.2">
      <c r="A16" s="13" t="s">
        <v>27</v>
      </c>
      <c r="B16" s="49">
        <v>919</v>
      </c>
      <c r="C16" s="1" t="s">
        <v>18</v>
      </c>
      <c r="D16" s="1"/>
      <c r="E16" s="1"/>
      <c r="F16" s="1"/>
      <c r="G16" s="2">
        <v>245697.1</v>
      </c>
      <c r="H16" s="2">
        <v>62634</v>
      </c>
      <c r="I16" s="2">
        <v>42048.3</v>
      </c>
      <c r="J16" s="23"/>
      <c r="K16" s="116"/>
      <c r="L16" s="23"/>
      <c r="M16" s="21"/>
      <c r="N16" s="21"/>
      <c r="O16" s="21"/>
    </row>
    <row r="17" spans="1:15" s="9" customFormat="1" x14ac:dyDescent="0.2">
      <c r="A17" s="11" t="s">
        <v>79</v>
      </c>
      <c r="B17" s="14">
        <v>919</v>
      </c>
      <c r="C17" s="8" t="s">
        <v>18</v>
      </c>
      <c r="D17" s="8" t="s">
        <v>26</v>
      </c>
      <c r="E17" s="8"/>
      <c r="F17" s="8"/>
      <c r="G17" s="4">
        <v>199745.5</v>
      </c>
      <c r="H17" s="4">
        <v>62634</v>
      </c>
      <c r="I17" s="4">
        <v>42048.3</v>
      </c>
      <c r="J17" s="21"/>
      <c r="K17" s="116"/>
      <c r="L17" s="21"/>
      <c r="M17" s="21"/>
      <c r="N17" s="21"/>
      <c r="O17" s="21"/>
    </row>
    <row r="18" spans="1:15" ht="69" customHeight="1" x14ac:dyDescent="0.2">
      <c r="A18" s="18" t="s">
        <v>406</v>
      </c>
      <c r="B18" s="22">
        <v>919</v>
      </c>
      <c r="C18" s="19" t="s">
        <v>18</v>
      </c>
      <c r="D18" s="19" t="s">
        <v>26</v>
      </c>
      <c r="E18" s="19" t="s">
        <v>407</v>
      </c>
      <c r="F18" s="19"/>
      <c r="G18" s="20">
        <v>85000</v>
      </c>
      <c r="H18" s="20">
        <v>0</v>
      </c>
      <c r="I18" s="20">
        <v>0</v>
      </c>
      <c r="K18" s="116"/>
      <c r="N18" s="29"/>
      <c r="O18" s="29"/>
    </row>
    <row r="19" spans="1:15" s="29" customFormat="1" ht="25.5" x14ac:dyDescent="0.2">
      <c r="A19" s="31" t="s">
        <v>144</v>
      </c>
      <c r="B19" s="35">
        <v>919</v>
      </c>
      <c r="C19" s="27" t="s">
        <v>18</v>
      </c>
      <c r="D19" s="27" t="s">
        <v>26</v>
      </c>
      <c r="E19" s="27" t="s">
        <v>407</v>
      </c>
      <c r="F19" s="27" t="s">
        <v>65</v>
      </c>
      <c r="G19" s="28">
        <v>85000</v>
      </c>
      <c r="H19" s="28">
        <v>0</v>
      </c>
      <c r="I19" s="28">
        <v>0</v>
      </c>
      <c r="J19" s="21"/>
      <c r="K19" s="116"/>
      <c r="L19" s="21"/>
      <c r="M19" s="21"/>
      <c r="N19" s="21"/>
      <c r="O19" s="21"/>
    </row>
    <row r="20" spans="1:15" s="3" customFormat="1" x14ac:dyDescent="0.2">
      <c r="A20" s="13" t="s">
        <v>30</v>
      </c>
      <c r="B20" s="49">
        <v>919</v>
      </c>
      <c r="C20" s="1" t="s">
        <v>31</v>
      </c>
      <c r="D20" s="1"/>
      <c r="E20" s="1"/>
      <c r="F20" s="1"/>
      <c r="G20" s="2">
        <v>230688.98380999998</v>
      </c>
      <c r="H20" s="2">
        <v>37693.4</v>
      </c>
      <c r="I20" s="2">
        <v>37121.4</v>
      </c>
      <c r="J20" s="79"/>
      <c r="K20" s="116"/>
      <c r="L20" s="79"/>
      <c r="M20" s="21"/>
      <c r="N20" s="21"/>
      <c r="O20" s="21"/>
    </row>
    <row r="21" spans="1:15" s="9" customFormat="1" x14ac:dyDescent="0.2">
      <c r="A21" s="11" t="s">
        <v>33</v>
      </c>
      <c r="B21" s="14">
        <v>919</v>
      </c>
      <c r="C21" s="8" t="s">
        <v>31</v>
      </c>
      <c r="D21" s="8" t="s">
        <v>14</v>
      </c>
      <c r="E21" s="8"/>
      <c r="F21" s="8"/>
      <c r="G21" s="4">
        <v>166026.79999999999</v>
      </c>
      <c r="H21" s="4">
        <v>3871</v>
      </c>
      <c r="I21" s="4">
        <v>3449</v>
      </c>
      <c r="J21" s="21"/>
      <c r="K21" s="116"/>
      <c r="L21" s="21"/>
      <c r="M21" s="21"/>
      <c r="N21" s="21"/>
      <c r="O21" s="21"/>
    </row>
    <row r="22" spans="1:15" ht="63.75" x14ac:dyDescent="0.2">
      <c r="A22" s="18" t="s">
        <v>313</v>
      </c>
      <c r="B22" s="22">
        <v>919</v>
      </c>
      <c r="C22" s="19" t="s">
        <v>31</v>
      </c>
      <c r="D22" s="19" t="s">
        <v>14</v>
      </c>
      <c r="E22" s="19" t="s">
        <v>312</v>
      </c>
      <c r="F22" s="19"/>
      <c r="G22" s="20">
        <v>83113.100000000006</v>
      </c>
      <c r="H22" s="20">
        <v>0</v>
      </c>
      <c r="I22" s="20">
        <v>0</v>
      </c>
      <c r="J22" s="29"/>
      <c r="K22" s="116"/>
      <c r="L22" s="29"/>
      <c r="M22" s="29"/>
      <c r="N22" s="29"/>
      <c r="O22" s="29"/>
    </row>
    <row r="23" spans="1:15" s="29" customFormat="1" x14ac:dyDescent="0.2">
      <c r="A23" s="31" t="s">
        <v>72</v>
      </c>
      <c r="B23" s="35">
        <v>919</v>
      </c>
      <c r="C23" s="27" t="s">
        <v>31</v>
      </c>
      <c r="D23" s="27" t="s">
        <v>14</v>
      </c>
      <c r="E23" s="27" t="s">
        <v>312</v>
      </c>
      <c r="F23" s="27" t="s">
        <v>73</v>
      </c>
      <c r="G23" s="28">
        <v>83113.100000000006</v>
      </c>
      <c r="H23" s="28"/>
      <c r="I23" s="28"/>
      <c r="J23" s="21"/>
      <c r="K23" s="116"/>
      <c r="L23" s="21"/>
      <c r="M23" s="21"/>
      <c r="N23" s="21"/>
      <c r="O23" s="21"/>
    </row>
    <row r="24" spans="1:15" s="15" customFormat="1" ht="14.25" customHeight="1" x14ac:dyDescent="0.25">
      <c r="A24" s="40" t="s">
        <v>58</v>
      </c>
      <c r="B24" s="52"/>
      <c r="C24" s="41"/>
      <c r="D24" s="41"/>
      <c r="E24" s="41"/>
      <c r="F24" s="41"/>
      <c r="G24" s="42">
        <v>2984341.0494300006</v>
      </c>
      <c r="H24" s="42">
        <v>2338074.6</v>
      </c>
      <c r="I24" s="42">
        <v>2308087.0999999996</v>
      </c>
      <c r="J24" s="23"/>
      <c r="K24" s="114"/>
      <c r="L24" s="21"/>
      <c r="M24" s="21"/>
      <c r="N24" s="21"/>
      <c r="O24" s="21"/>
    </row>
    <row r="25" spans="1:15" x14ac:dyDescent="0.2">
      <c r="G25" s="62"/>
      <c r="H25" s="62"/>
      <c r="I25" s="62"/>
      <c r="J25" s="23"/>
      <c r="K25" s="116"/>
    </row>
    <row r="26" spans="1:15" x14ac:dyDescent="0.2">
      <c r="G26" s="62"/>
      <c r="H26" s="62"/>
      <c r="I26" s="62"/>
      <c r="J26" s="23"/>
      <c r="K26" s="116"/>
    </row>
    <row r="27" spans="1:15" s="121" customFormat="1" ht="43.5" customHeight="1" x14ac:dyDescent="0.2">
      <c r="A27" s="119" t="s">
        <v>419</v>
      </c>
      <c r="B27" s="120"/>
      <c r="C27" s="120"/>
      <c r="D27" s="120"/>
      <c r="E27" s="120"/>
      <c r="H27" s="122" t="s">
        <v>420</v>
      </c>
    </row>
    <row r="28" spans="1:15" x14ac:dyDescent="0.2">
      <c r="J28" s="23"/>
      <c r="K28" s="116"/>
    </row>
    <row r="29" spans="1:15" x14ac:dyDescent="0.2">
      <c r="E29" s="37" t="s">
        <v>6</v>
      </c>
      <c r="J29" s="23"/>
      <c r="K29" s="23"/>
    </row>
    <row r="30" spans="1:15" x14ac:dyDescent="0.2">
      <c r="G30" s="62"/>
      <c r="H30" s="62"/>
      <c r="I30" s="62"/>
    </row>
    <row r="31" spans="1:15" x14ac:dyDescent="0.2">
      <c r="G31" s="62"/>
      <c r="H31" s="62"/>
      <c r="I31" s="62"/>
    </row>
    <row r="33" spans="3:9" x14ac:dyDescent="0.2">
      <c r="G33" s="62"/>
      <c r="H33" s="62"/>
      <c r="I33" s="62"/>
    </row>
    <row r="34" spans="3:9" x14ac:dyDescent="0.2">
      <c r="C34" s="21"/>
      <c r="D34" s="21"/>
      <c r="E34" s="21"/>
      <c r="F34" s="21"/>
      <c r="G34" s="21"/>
      <c r="H34" s="21"/>
      <c r="I34" s="21"/>
    </row>
    <row r="35" spans="3:9" x14ac:dyDescent="0.2">
      <c r="C35" s="21"/>
      <c r="D35" s="21"/>
      <c r="E35" s="21"/>
      <c r="F35" s="21"/>
      <c r="G35" s="21"/>
      <c r="H35" s="21"/>
      <c r="I35" s="21"/>
    </row>
    <row r="36" spans="3:9" x14ac:dyDescent="0.2">
      <c r="C36" s="21"/>
      <c r="D36" s="21"/>
      <c r="E36" s="21"/>
      <c r="F36" s="21"/>
      <c r="G36" s="21"/>
      <c r="H36" s="21"/>
      <c r="I36" s="21"/>
    </row>
    <row r="37" spans="3:9" x14ac:dyDescent="0.2">
      <c r="C37" s="21"/>
      <c r="D37" s="21"/>
      <c r="E37" s="21"/>
      <c r="F37" s="21"/>
      <c r="G37" s="21"/>
      <c r="H37" s="21"/>
      <c r="I37" s="21"/>
    </row>
  </sheetData>
  <mergeCells count="18">
    <mergeCell ref="A7:I7"/>
    <mergeCell ref="A1:I1"/>
    <mergeCell ref="A2:I2"/>
    <mergeCell ref="A3:I3"/>
    <mergeCell ref="A5:I5"/>
    <mergeCell ref="A6:I6"/>
    <mergeCell ref="H12:H13"/>
    <mergeCell ref="I12:I13"/>
    <mergeCell ref="A9:I9"/>
    <mergeCell ref="A10:I10"/>
    <mergeCell ref="A11:G11"/>
    <mergeCell ref="A12:A13"/>
    <mergeCell ref="B12:B13"/>
    <mergeCell ref="C12:C13"/>
    <mergeCell ref="D12:D13"/>
    <mergeCell ref="E12:E13"/>
    <mergeCell ref="F12:F13"/>
    <mergeCell ref="G12:G13"/>
  </mergeCells>
  <pageMargins left="0.78740157480314965" right="0.39370078740157483" top="0.59055118110236227" bottom="0.94488188976377963" header="0.31496062992125984" footer="0.31496062992125984"/>
  <pageSetup paperSize="9" scale="64" fitToHeight="32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первоначальный</vt:lpstr>
      <vt:lpstr>изменения июнь внеочередная</vt:lpstr>
      <vt:lpstr>изменения июнь внеочередная кор</vt:lpstr>
      <vt:lpstr>'изменения июнь внеочередная'!Заголовки_для_печати</vt:lpstr>
      <vt:lpstr>'изменения июнь внеочередная кор'!Заголовки_для_печати</vt:lpstr>
      <vt:lpstr>первоначальный!Заголовки_для_печати</vt:lpstr>
      <vt:lpstr>'изменения июнь внеочередная'!Область_печати</vt:lpstr>
      <vt:lpstr>'изменения июнь внеочередная кор'!Область_печати</vt:lpstr>
      <vt:lpstr>первоначальный!Область_печати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Tatyana Orlova</cp:lastModifiedBy>
  <cp:lastPrinted>2018-06-05T01:54:44Z</cp:lastPrinted>
  <dcterms:created xsi:type="dcterms:W3CDTF">2007-12-19T00:56:18Z</dcterms:created>
  <dcterms:modified xsi:type="dcterms:W3CDTF">2018-06-05T01:54:47Z</dcterms:modified>
</cp:coreProperties>
</file>