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-15" yWindow="2085" windowWidth="14400" windowHeight="10410" firstSheet="1" activeTab="1"/>
  </bookViews>
  <sheets>
    <sheet name="август" sheetId="18" state="hidden" r:id="rId1"/>
    <sheet name="для сайта" sheetId="29" r:id="rId2"/>
  </sheets>
  <definedNames>
    <definedName name="_xlnm.Print_Area" localSheetId="0">август!$A$1:$F$226</definedName>
    <definedName name="_xlnm.Print_Area" localSheetId="1">'для сайта'!$A$1:$F$218</definedName>
  </definedNames>
  <calcPr calcId="145621"/>
</workbook>
</file>

<file path=xl/calcChain.xml><?xml version="1.0" encoding="utf-8"?>
<calcChain xmlns="http://schemas.openxmlformats.org/spreadsheetml/2006/main">
  <c r="E179" i="29" l="1"/>
  <c r="F182" i="29"/>
  <c r="F183" i="29"/>
  <c r="F178" i="29"/>
  <c r="F177" i="29"/>
  <c r="E176" i="29"/>
  <c r="E174" i="29"/>
  <c r="F172" i="29"/>
  <c r="E171" i="29"/>
  <c r="E173" i="29"/>
  <c r="E167" i="29"/>
  <c r="E168" i="29"/>
  <c r="E197" i="29"/>
  <c r="H25" i="29" l="1"/>
  <c r="F180" i="29" l="1"/>
  <c r="E140" i="29" l="1"/>
  <c r="E142" i="29" l="1"/>
  <c r="E141" i="29"/>
  <c r="E86" i="29"/>
  <c r="E159" i="29" l="1"/>
  <c r="F159" i="29" s="1"/>
  <c r="E203" i="29" l="1"/>
  <c r="F203" i="29" s="1"/>
  <c r="F200" i="29"/>
  <c r="F201" i="29"/>
  <c r="F160" i="29" l="1"/>
  <c r="E161" i="29"/>
  <c r="F161" i="29" s="1"/>
  <c r="E158" i="29"/>
  <c r="F158" i="29" s="1"/>
  <c r="E157" i="29"/>
  <c r="F157" i="29" s="1"/>
  <c r="F156" i="29"/>
  <c r="F146" i="29"/>
  <c r="F145" i="29"/>
  <c r="F144" i="29"/>
  <c r="F143" i="29"/>
  <c r="F142" i="29"/>
  <c r="F141" i="29"/>
  <c r="D188" i="29" s="1"/>
  <c r="F188" i="29" s="1"/>
  <c r="F140" i="29"/>
  <c r="D187" i="29" s="1"/>
  <c r="F139" i="29"/>
  <c r="F138" i="29"/>
  <c r="F137" i="29"/>
  <c r="F136" i="29"/>
  <c r="F135" i="29"/>
  <c r="F134" i="29"/>
  <c r="E133" i="29"/>
  <c r="F133" i="29" s="1"/>
  <c r="F132" i="29"/>
  <c r="F131" i="29"/>
  <c r="D175" i="29" s="1"/>
  <c r="F175" i="29" s="1"/>
  <c r="F130" i="29"/>
  <c r="F129" i="29"/>
  <c r="D181" i="29" s="1"/>
  <c r="F181" i="29" s="1"/>
  <c r="F128" i="29"/>
  <c r="E127" i="29"/>
  <c r="F127" i="29" s="1"/>
  <c r="F126" i="29"/>
  <c r="E125" i="29"/>
  <c r="F125" i="29" s="1"/>
  <c r="E124" i="29"/>
  <c r="F124" i="29" s="1"/>
  <c r="F123" i="29"/>
  <c r="D170" i="29" s="1"/>
  <c r="F122" i="29"/>
  <c r="F121" i="29"/>
  <c r="D169" i="29" s="1"/>
  <c r="F120" i="29"/>
  <c r="F119" i="29"/>
  <c r="E118" i="29"/>
  <c r="F118" i="29" s="1"/>
  <c r="F117" i="29"/>
  <c r="E116" i="29"/>
  <c r="F116" i="29" s="1"/>
  <c r="F115" i="29"/>
  <c r="F114" i="29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193" i="29" l="1"/>
  <c r="F192" i="29"/>
  <c r="H6" i="29" l="1"/>
  <c r="E205" i="29" l="1"/>
  <c r="F199" i="29"/>
  <c r="E164" i="29"/>
  <c r="F166" i="29" l="1"/>
  <c r="F205" i="29" l="1"/>
  <c r="F165" i="29"/>
  <c r="F194" i="29"/>
  <c r="F195" i="29"/>
  <c r="F196" i="29"/>
  <c r="F202" i="29"/>
  <c r="F164" i="29" l="1"/>
  <c r="F197" i="29"/>
  <c r="E20" i="29" l="1"/>
  <c r="E21" i="29"/>
  <c r="E18" i="29" l="1"/>
  <c r="E19" i="29"/>
  <c r="E17" i="29"/>
  <c r="F176" i="29" l="1"/>
  <c r="F168" i="29"/>
  <c r="F167" i="29"/>
  <c r="F173" i="29"/>
  <c r="F174" i="29"/>
  <c r="F171" i="29"/>
  <c r="F179" i="29"/>
  <c r="F204" i="29"/>
  <c r="E214" i="29"/>
  <c r="F213" i="29" l="1"/>
  <c r="F211" i="29"/>
  <c r="F185" i="29"/>
  <c r="F187" i="29"/>
  <c r="F184" i="29"/>
  <c r="E147" i="29" l="1"/>
  <c r="F163" i="29" l="1"/>
  <c r="F162" i="29"/>
  <c r="F170" i="29" l="1"/>
  <c r="F169" i="29"/>
  <c r="F186" i="29" l="1"/>
  <c r="F189" i="29"/>
  <c r="F191" i="29" l="1"/>
  <c r="F190" i="29"/>
  <c r="E11" i="18" l="1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F47" i="18"/>
  <c r="F48" i="18"/>
  <c r="F49" i="18"/>
  <c r="F50" i="18"/>
  <c r="F51" i="18"/>
  <c r="F52" i="18"/>
  <c r="E53" i="18"/>
  <c r="F53" i="18" s="1"/>
  <c r="E54" i="18"/>
  <c r="F54" i="18" s="1"/>
  <c r="F55" i="18"/>
  <c r="F56" i="18"/>
  <c r="F57" i="18"/>
  <c r="F58" i="18"/>
  <c r="F59" i="18"/>
  <c r="F60" i="18"/>
  <c r="G61" i="18"/>
  <c r="E121" i="18"/>
  <c r="E122" i="18"/>
  <c r="F122" i="18" s="1"/>
  <c r="E123" i="18"/>
  <c r="F123" i="18" s="1"/>
  <c r="E124" i="18"/>
  <c r="F124" i="18" s="1"/>
  <c r="E125" i="18"/>
  <c r="F125" i="18" s="1"/>
  <c r="F126" i="18"/>
  <c r="F127" i="18"/>
  <c r="F128" i="18"/>
  <c r="F129" i="18"/>
  <c r="F130" i="18"/>
  <c r="E131" i="18"/>
  <c r="F131" i="18" s="1"/>
  <c r="F132" i="18"/>
  <c r="F133" i="18"/>
  <c r="F134" i="18"/>
  <c r="F135" i="18"/>
  <c r="F136" i="18"/>
  <c r="F137" i="18"/>
  <c r="E138" i="18"/>
  <c r="F138" i="18" s="1"/>
  <c r="E139" i="18"/>
  <c r="F139" i="18" s="1"/>
  <c r="F140" i="18"/>
  <c r="F141" i="18"/>
  <c r="F142" i="18"/>
  <c r="F143" i="18"/>
  <c r="E144" i="18"/>
  <c r="F144" i="18" s="1"/>
  <c r="F145" i="18"/>
  <c r="E146" i="18"/>
  <c r="F146" i="18" s="1"/>
  <c r="F147" i="18"/>
  <c r="F148" i="18"/>
  <c r="F149" i="18"/>
  <c r="F150" i="18"/>
  <c r="F151" i="18"/>
  <c r="F152" i="18"/>
  <c r="F153" i="18"/>
  <c r="E154" i="18"/>
  <c r="F154" i="18" s="1"/>
  <c r="F155" i="18"/>
  <c r="F156" i="18"/>
  <c r="E157" i="18"/>
  <c r="F157" i="18" s="1"/>
  <c r="F158" i="18"/>
  <c r="E159" i="18"/>
  <c r="F159" i="18" s="1"/>
  <c r="F160" i="18"/>
  <c r="E161" i="18"/>
  <c r="F161" i="18" s="1"/>
  <c r="F162" i="18"/>
  <c r="F163" i="18"/>
  <c r="E164" i="18"/>
  <c r="F164" i="18" s="1"/>
  <c r="F165" i="18"/>
  <c r="F166" i="18"/>
  <c r="F167" i="18"/>
  <c r="F168" i="18"/>
  <c r="E169" i="18"/>
  <c r="F169" i="18" s="1"/>
  <c r="F170" i="18"/>
  <c r="E171" i="18"/>
  <c r="F171" i="18" s="1"/>
  <c r="E172" i="18"/>
  <c r="F172" i="18" s="1"/>
  <c r="E173" i="18"/>
  <c r="F173" i="18" s="1"/>
  <c r="F174" i="18"/>
  <c r="E175" i="18"/>
  <c r="F175" i="18" s="1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G195" i="18"/>
  <c r="I195" i="18"/>
  <c r="B202" i="18"/>
  <c r="B224" i="18" s="1"/>
  <c r="G203" i="18"/>
  <c r="F205" i="18"/>
  <c r="F212" i="18"/>
  <c r="F121" i="18"/>
  <c r="E25" i="18" l="1"/>
  <c r="E195" i="18"/>
  <c r="H195" i="18" s="1"/>
  <c r="J195" i="18" s="1"/>
  <c r="E61" i="18"/>
  <c r="F201" i="18" s="1"/>
  <c r="F224" i="18" s="1"/>
  <c r="F225" i="18" s="1"/>
  <c r="H61" i="18" l="1"/>
  <c r="M224" i="18"/>
  <c r="H203" i="18"/>
</calcChain>
</file>

<file path=xl/sharedStrings.xml><?xml version="1.0" encoding="utf-8"?>
<sst xmlns="http://schemas.openxmlformats.org/spreadsheetml/2006/main" count="509" uniqueCount="429">
  <si>
    <t>ПОЯСНИТЕЛЬНАЯ ЗАПИСКА</t>
  </si>
  <si>
    <t>Наименование</t>
  </si>
  <si>
    <t>БК</t>
  </si>
  <si>
    <t xml:space="preserve">Было </t>
  </si>
  <si>
    <t>изменения</t>
  </si>
  <si>
    <t>Стало</t>
  </si>
  <si>
    <t>ИТОГО</t>
  </si>
  <si>
    <t>тыс.руб.</t>
  </si>
  <si>
    <t>Управление образования</t>
  </si>
  <si>
    <t>Итого</t>
  </si>
  <si>
    <t>Доходы</t>
  </si>
  <si>
    <t>Расходы</t>
  </si>
  <si>
    <t>Субсидии</t>
  </si>
  <si>
    <t>Субвенции</t>
  </si>
  <si>
    <t>Управление культуры</t>
  </si>
  <si>
    <t>Наименование доходов</t>
  </si>
  <si>
    <t>ожидаемое исполнение за год</t>
  </si>
  <si>
    <t>+,- к плану года</t>
  </si>
  <si>
    <t>План уточненный - основание</t>
  </si>
  <si>
    <t>Плата за выбросы загрязняющих веществ в атмосферный воздух стационарными объектами</t>
  </si>
  <si>
    <t xml:space="preserve">      </t>
  </si>
  <si>
    <t>тыс. руб</t>
  </si>
  <si>
    <t>Налоговые и неналоговые доходы</t>
  </si>
  <si>
    <t>Плата за размещение отходов производства и потребления</t>
  </si>
  <si>
    <t>Денежные взыскания (штрафы) за нарушение законодательства Российской Федерации об административных правонарушениях, предусмотренных статьей 20.25 Кодекса  Российской Федерации об административных правонарушениях</t>
  </si>
  <si>
    <t>УСЗН</t>
  </si>
  <si>
    <t>УЖКХ</t>
  </si>
  <si>
    <t>Субсидии, субвенции, межбюджетные трансферты</t>
  </si>
  <si>
    <t>Иные межбюджетные трансферты</t>
  </si>
  <si>
    <r>
      <rPr>
        <b/>
        <sz val="13"/>
        <rFont val="Times New Roman"/>
        <family val="1"/>
        <charset val="204"/>
      </rPr>
      <t>2.2.</t>
    </r>
    <r>
      <rPr>
        <sz val="13"/>
        <rFont val="Times New Roman"/>
        <family val="1"/>
        <charset val="204"/>
      </rPr>
      <t xml:space="preserve"> По ходатайствам бюджетных учреждений:</t>
    </r>
  </si>
  <si>
    <t>Администрация</t>
  </si>
  <si>
    <t>Увеличиваются ассигнования:</t>
  </si>
  <si>
    <t>Переносятся ассигнования с одного вида расходов на другой: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</si>
  <si>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</si>
  <si>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КУМИ</t>
  </si>
  <si>
    <t>Переносятся ассигнования с одной целевой статьи на другую:</t>
  </si>
  <si>
    <t>Финансовое управление</t>
  </si>
  <si>
    <r>
      <rPr>
        <u/>
        <sz val="13"/>
        <rFont val="Times New Roman"/>
        <family val="1"/>
        <charset val="204"/>
      </rPr>
      <t>Уменьшаются ассигнования:</t>
    </r>
    <r>
      <rPr>
        <sz val="13"/>
        <rFont val="Times New Roman"/>
        <family val="1"/>
        <charset val="204"/>
      </rPr>
      <t/>
    </r>
  </si>
  <si>
    <t>По Администрации:</t>
  </si>
  <si>
    <t>911 0702 051 00 71820 200</t>
  </si>
  <si>
    <t>913 0801 060 00 11400 600</t>
  </si>
  <si>
    <t>913 0804 060 00 14520 100</t>
  </si>
  <si>
    <t>913 0801 060 00 12410 600</t>
  </si>
  <si>
    <t>911 0702 051 00 11210 600</t>
  </si>
  <si>
    <t>900 0104 011 00 11020 100</t>
  </si>
  <si>
    <t>900 0104 011 00 11020 200</t>
  </si>
  <si>
    <t>План на 2016 год</t>
  </si>
  <si>
    <t>Государственная пошлина за выдачу и обмен паспорта гражданина Российской Федерации</t>
  </si>
  <si>
    <t>Государственная пошлина за гос.регестрацию прав,ограничений прав на недвижимое имущество и сделок сним</t>
  </si>
  <si>
    <t>Денежные взыскания (штрафы) 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</si>
  <si>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900 0102 011 00 11010 100</t>
  </si>
  <si>
    <t>915 1003 086 00 52200 300</t>
  </si>
  <si>
    <t>911 0709 051 00 17010 600</t>
  </si>
  <si>
    <t>913 0801 060 00 13420 600</t>
  </si>
  <si>
    <t>913 0702 051 00 11230 600</t>
  </si>
  <si>
    <t>919 0502 103 00 11200 800</t>
  </si>
  <si>
    <t>900 0501 044 00 11200 200</t>
  </si>
  <si>
    <t>900 0113 014 00 11400 600</t>
  </si>
  <si>
    <t>900 0901 083 00 14900 600</t>
  </si>
  <si>
    <t>915 1006 081 00 11400 300</t>
  </si>
  <si>
    <t>915 1006 081 00 11400 200</t>
  </si>
  <si>
    <t>900 0104 011 00 11020 800</t>
  </si>
  <si>
    <t>900 1006 015 00 15010 200</t>
  </si>
  <si>
    <t>900 1006 015 00 15010 300</t>
  </si>
  <si>
    <t>900 0113 130 00 11170 600</t>
  </si>
  <si>
    <t>919 0409 111 00 11120 600</t>
  </si>
  <si>
    <t>Начальник финансового управления г. Анжеро-Судженска-</t>
  </si>
  <si>
    <t>Е.Н. Зачиняева</t>
  </si>
  <si>
    <t>900 0501 043 00 S9602 400</t>
  </si>
  <si>
    <t>911 0702 051 00 71930 200</t>
  </si>
  <si>
    <t>По Управлению образования:</t>
  </si>
  <si>
    <t>855 0111 015 00  13070 800</t>
  </si>
  <si>
    <t>По УСЗН:</t>
  </si>
  <si>
    <t>913 0804 060 00 14040 100</t>
  </si>
  <si>
    <t>913 0804 060 00 14520 800</t>
  </si>
  <si>
    <t>919 0502 101 00 12300 400</t>
  </si>
  <si>
    <t>Единый сельскохозяйственный налог</t>
  </si>
  <si>
    <t>Плата за выбросы загрязняющих веществ в атмосферный воздух передвижными объектами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</si>
  <si>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</si>
  <si>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к проекту решения  «О внесении изменений в решение  Совета народных депутатов  Анжеро-Судженского городского округа от 24.12.2015  № 392 «О  бюджете  муниципального образования «Анжеро-Судженский городской округ» на 2016 год »</t>
  </si>
  <si>
    <t>По Администрации города:</t>
  </si>
  <si>
    <t xml:space="preserve"> - за счет дополнительно полученных доходов:</t>
  </si>
  <si>
    <t>900 0104 011 00 11030 100</t>
  </si>
  <si>
    <t>900 0113 015 00 94040 300</t>
  </si>
  <si>
    <t>Прочие безвозмездные поступления</t>
  </si>
  <si>
    <t>Уменьшаются ассигнования:</t>
  </si>
  <si>
    <t xml:space="preserve">Администрации города: </t>
  </si>
  <si>
    <t xml:space="preserve"> - за счет финансовой помощи:</t>
  </si>
  <si>
    <t>Администрация  почетные граждане 100%</t>
  </si>
  <si>
    <t>Техприсоединение теплотрассы Вост.района</t>
  </si>
  <si>
    <r>
      <rPr>
        <b/>
        <sz val="13"/>
        <rFont val="Times New Roman"/>
        <family val="1"/>
        <charset val="204"/>
      </rPr>
      <t>1</t>
    </r>
    <r>
      <rPr>
        <sz val="13"/>
        <rFont val="Times New Roman"/>
        <family val="1"/>
        <charset val="204"/>
      </rPr>
      <t>. Изменения по доходам вносятся:</t>
    </r>
  </si>
  <si>
    <r>
      <rPr>
        <b/>
        <sz val="13"/>
        <rFont val="Times New Roman"/>
        <family val="1"/>
        <charset val="204"/>
      </rPr>
      <t>1.2</t>
    </r>
    <r>
      <rPr>
        <sz val="13"/>
        <rFont val="Times New Roman"/>
        <family val="1"/>
        <charset val="204"/>
      </rPr>
      <t>. Вносятся изменения в план по доходам налоговых и  неналоговых платежей:</t>
    </r>
  </si>
  <si>
    <t>900 0309 031 00 11000 200</t>
  </si>
  <si>
    <t>919 0309 031 00 11000 600</t>
  </si>
  <si>
    <t>919 0502 103 00 13500 800</t>
  </si>
  <si>
    <t>900 1003 072 00 73221 300</t>
  </si>
  <si>
    <t>915 1003 086 00 52200 200</t>
  </si>
  <si>
    <t>919 0409 112 00 11110 600</t>
  </si>
  <si>
    <t>900 0309 031 00 13000 200</t>
  </si>
  <si>
    <t>919 0505 104 00 11040 200</t>
  </si>
  <si>
    <t>915 1002 085 00 70170 800</t>
  </si>
  <si>
    <t>915 1002 085 00 70170 200</t>
  </si>
  <si>
    <t>915 1003 086 00 70050 300</t>
  </si>
  <si>
    <t>911 1003 086 00 70050 600</t>
  </si>
  <si>
    <t>915 1003 086 00 80100 300</t>
  </si>
  <si>
    <t>915 1004 096 00 52700 300</t>
  </si>
  <si>
    <t>915 1004 086 00 53800 300</t>
  </si>
  <si>
    <t>915 0707 052 00 70490 100</t>
  </si>
  <si>
    <t xml:space="preserve"> - на ежемесячное обеспечение детей, страдающих онкологическими заболеваниями, денежной выплатой на 11,1т.р.</t>
  </si>
  <si>
    <t>КФКиС</t>
  </si>
  <si>
    <t>904 0709 051 00 15520 100</t>
  </si>
  <si>
    <t>904 0709 051 00 15520 200</t>
  </si>
  <si>
    <t>904 0709 051 00 15520 600</t>
  </si>
  <si>
    <t xml:space="preserve"> - на реализацию мер в области молодежной политики в сумме 33,8т.р. (зарплата молодежным трудовым отрядам);
 - на обновление компьюьерного оборудования аппарату УСЗН, в соответствии с письмом Департамента социальной защиты населения от 17.05.2016г. № 12-2726, на сумму 100,0 т.р.</t>
  </si>
  <si>
    <t>915 1006 084 00 70280 200</t>
  </si>
  <si>
    <t>915 1002 085 00 11050 200</t>
  </si>
  <si>
    <t>915 1002 085 00 11050 100</t>
  </si>
  <si>
    <t>900 0901 071 00 54920 600</t>
  </si>
  <si>
    <t>911 0701 083 00 R0271 200</t>
  </si>
  <si>
    <t>911 0701 051 00 11200 200</t>
  </si>
  <si>
    <t>911 0701 083 00 L0271 200</t>
  </si>
  <si>
    <t>По Администрации:
 - в связи с необходимостью оплаты жилищной субсидии работникам бюджетной сферы в сумме 62,5т.р.</t>
  </si>
  <si>
    <t xml:space="preserve">905 0113 020 00 14000 200 </t>
  </si>
  <si>
    <t xml:space="preserve">905 0113 020 00 16000 200 </t>
  </si>
  <si>
    <t>905 0412 020 00 12000 200</t>
  </si>
  <si>
    <t>905 0113 020 00 18000 800</t>
  </si>
  <si>
    <t>По УЖКХ:
 - в связи с поступление денежных средств из областого бюджета на строительство теплотрассы в Восточном жилом районе в сумме 43000,0 т.р.</t>
  </si>
  <si>
    <t>915 1003 086 00 80010 300</t>
  </si>
  <si>
    <t xml:space="preserve"> - на оплату жилья и коммунальных услуг отдельным категориям граждан на - 7428,0т.р.;
 - на выплату единовременного пособия беременной жене военнослужащего, проходящего военную службу по призыву в сумме - 100,0т.р.;
 - на меры соц.поддержки семей, имеющих детей (материнский капитал) в сумме - 1200,0т.р.</t>
  </si>
  <si>
    <t xml:space="preserve"> - за счет увеличения дотации из областного бюджета на выравнивание бюджетной обеспеченности на 24924,0т.р.:</t>
  </si>
  <si>
    <t xml:space="preserve"> - на денежные выплаты гражданам, имеющим звание "Почетный гражданин Анжеро-Судженского городского округа" (дополнительно на 1 чел.) в сумме - 64,9т.р.</t>
  </si>
  <si>
    <t xml:space="preserve"> - на доведение до 100% ФОТ Администрации города в сумме - 7447,0т.р.</t>
  </si>
  <si>
    <t xml:space="preserve"> - на доведение до 100% ФОТ ОООП в сумме - 1543,8т.р.</t>
  </si>
  <si>
    <t xml:space="preserve"> - на доведение до 100% ФОТ МФЦ (рассчитан по факту за 6 мес.2016г. + по начислению июня доведено до года + фот на 1 чел. на 6 мес, всего на 42 шт.ед.) в сумме - 4609,7т.р.</t>
  </si>
  <si>
    <t xml:space="preserve"> - на доведение до 100% ФОТ (аппарат) в сумме - 213,7т.р.</t>
  </si>
  <si>
    <t xml:space="preserve"> - на доведение до 100% ФОТ учреждений КФКиС в сумме - 1301,5т.р.</t>
  </si>
  <si>
    <t xml:space="preserve"> - на доведение до 100% ФОТ  в сумме - 1554,3т.р.</t>
  </si>
  <si>
    <t xml:space="preserve"> - на доведение до 100% ФОТ (аппарат) в сумме - 213,6т.р.</t>
  </si>
  <si>
    <t xml:space="preserve"> - на доведение до 100% ФОТ (аппарат) в сумме - 930,4т.р.</t>
  </si>
  <si>
    <t xml:space="preserve"> - на доведение до 100% ФОТ  УЖ в сумме - 2190,4т.р.</t>
  </si>
  <si>
    <t xml:space="preserve"> - на  приобретение компьютерного оборудования - 83,4т.р.</t>
  </si>
  <si>
    <t xml:space="preserve"> - на доведение до 100% ФОТ  АДС в сумме - 1589,0т.р., в том числе на ЕДДС - 195,8т.р., АДС - 1393,2т.р.</t>
  </si>
  <si>
    <t>911 0709 053 00 11040 100</t>
  </si>
  <si>
    <t xml:space="preserve"> - на доведение до 100% ФОТ (аппарат) в сумме - 670,6т.р.</t>
  </si>
  <si>
    <t>919 0505 102 00 11900 600</t>
  </si>
  <si>
    <t>919 0505 104 00 11040 100</t>
  </si>
  <si>
    <t>919 0505 116 00 11900 600</t>
  </si>
  <si>
    <t>904 1101 090 00 11010 600</t>
  </si>
  <si>
    <t>904 1105 090 00 11040 100</t>
  </si>
  <si>
    <t>900 0309 031 00 13000 100</t>
  </si>
  <si>
    <t xml:space="preserve"> - на доведение до 100% ФОТ ГО и ЧС в сумме - 849,0т.р.</t>
  </si>
  <si>
    <t>900 0113 033 00 11150 100</t>
  </si>
  <si>
    <t>905 0113 020 00 19000 100</t>
  </si>
  <si>
    <t>Дотации</t>
  </si>
  <si>
    <t>Доведение до 100% ФОТ Администрации</t>
  </si>
  <si>
    <t>Доведение до 100% ФОТ ГОиЧС</t>
  </si>
  <si>
    <t>Доведение до 100% ФОТ ОООП</t>
  </si>
  <si>
    <t>Доведение до 100% ФОТ КФКиС аппарат</t>
  </si>
  <si>
    <t xml:space="preserve">Доведение до 100% ФОТ учреждений КФКиС </t>
  </si>
  <si>
    <t>Доведение до 100% ФОТ Управлению культуры аппарат</t>
  </si>
  <si>
    <t xml:space="preserve">ФОТ учреждениям Управленя  культуры </t>
  </si>
  <si>
    <t>Доведение до 100% ФОТ КУМИ</t>
  </si>
  <si>
    <t>Доведение до 100% ФОТ Управлению образованияаппарат</t>
  </si>
  <si>
    <t>Доведение до 100% ФОТ УЖКХ</t>
  </si>
  <si>
    <t>Доведение до 100% ФОТ АДС</t>
  </si>
  <si>
    <t>ФОТ МФЦ (42 шт.ед.)</t>
  </si>
  <si>
    <t>Архив прочие</t>
  </si>
  <si>
    <t>УЖКХ компьютер</t>
  </si>
  <si>
    <t>Доведение до МРОТ ФОТ АХО</t>
  </si>
  <si>
    <t>900 0104 011 00 11030 200</t>
  </si>
  <si>
    <t xml:space="preserve">на трудоустройство несовершеннолетних подростков за счет поступившей финпомощи от ЗАО "Управляющая компания КЕМ-ОЙЛ" </t>
  </si>
  <si>
    <t xml:space="preserve"> - по муниципальной программе "Обеспечение доступным и комфортным жильем и коммунальными услугами" для погашения кредиторской задолженности за технологическое присоединение (эл-во) перед ООО КЭнК в Восточном районе в сумме 3000,0 т.р.; для погашения кредиторской задолженности по исполнительному листу КЭСК в сумме 45,0т.р.</t>
  </si>
  <si>
    <t>900 0501 044 00 11200 800</t>
  </si>
  <si>
    <t>900 1003 042 00 L0200 300</t>
  </si>
  <si>
    <t xml:space="preserve"> - от ЗАО "Управляющая компания КЕМ-ОЙЛ" для Управления образованя на трудоустройство несовершеннолетних подростков в период летних каникул в количестве 18 чел. (9 чел. МБОУ "ООШ №8" и 9 чел. МБОУ "СОШ №22") в сумме - 45,0т.р.:</t>
  </si>
  <si>
    <t xml:space="preserve"> - от продажи муниципальных земель в сумме 1500,0т.р. на погашение задолженности за технологическое присоединение  теплоснабжения в Восточном районе. </t>
  </si>
  <si>
    <t>911 0709 053 00 11520 200</t>
  </si>
  <si>
    <t>911 0709 053 00 11520 100</t>
  </si>
  <si>
    <t>911 0702 051 00 12220 200</t>
  </si>
  <si>
    <t>911 0709 053 00 11350 600</t>
  </si>
  <si>
    <t>911 0701 051 00 11200 100</t>
  </si>
  <si>
    <t>911 0701 051 00 11200 600</t>
  </si>
  <si>
    <t>911 0709 053 00 11520 600</t>
  </si>
  <si>
    <t>911 0702 051 00 71820 800</t>
  </si>
  <si>
    <t>По Управлению образования:
 - в связи с необходимостью оплаты пеней и госпошлин, задолженности по гсм в сумме 610,0 т.р.;
 - для оплаты за коммунальные услуги в сумме 535,0т.р.</t>
  </si>
  <si>
    <t>911 0702 051 00 11230 600</t>
  </si>
  <si>
    <t xml:space="preserve"> - по муниципальной программе  «Обеспечение общественного порядка, пожарной безопасности и защита от чрезвычайных ситуаций» на 2015-2018 гг.» для оплаты услуг спецсвязи, приобретения канцтоваров, гсм в сумме 21,5 т.р.;
 - для расчетов с БиО за уборку снега в сумме 100,0тыс.руб.;
 - по ГОиЧС для возмещения командировочных расходов на обучение в сумме - 30,0тыс.руб.</t>
  </si>
  <si>
    <t>900 0309 032 00 12700 200</t>
  </si>
  <si>
    <t>900 0309 032 00 13700 200</t>
  </si>
  <si>
    <t>900 0309 032 00 13700 300</t>
  </si>
  <si>
    <t>По КФКиС:
 - в связи с реорганизацией КФКиС в форме выделения из его состава нового юридического лица МБУ "Централизованная бухгалтерия комитета по физической культуре и спорту администрации Анжеро-Судженского городского округа" в сумме 391,4 т.р.;</t>
  </si>
  <si>
    <t>По УСЗН:
 - для оказания адресной помощи гражданам города по программе "Милосердие" в сумме 14,7 т.р.;</t>
  </si>
  <si>
    <t>905 0113 020 00 19000 200</t>
  </si>
  <si>
    <t>Источники финансирования дефицита бюджета</t>
  </si>
  <si>
    <t xml:space="preserve"> - за счет увеличения источников финансирования дефицита бюджета:</t>
  </si>
  <si>
    <t xml:space="preserve"> - на ежегодную денежную выплату лицам, награжденным нагрудным знаком "Почетный донор России" на 575,9т.р.;
 - на выплату гос.пособий лицам, не подлежащим обязательному социальному страхованию на случай временной нетрудоспособности в связми с материнством, и лицам, уволенным в связи с ликвидацией организаций в сумме - 300,0т.р.;</t>
  </si>
  <si>
    <t xml:space="preserve"> - на  обеспечение медицинской деятельности, связанной с донорством органов человека в целях трансплантации на в сумме - 720,0т.р.</t>
  </si>
  <si>
    <t>По Управлению образования:
 - на меры соц.поддержки многодетных семей (питание детей из многодетных семей) в сумме - 779,0 т.р.;
 - на реализацию мероприятий государственной прогрммы РФ "Доступная среда" на 2011-2020годы  (детский сад №3: замена пандуса, приобретение теневых навесов с поручнями, замена линолиума, оборудование для туалетных комнат для детей-инвалидов) в сумме - 815,7т.р.</t>
  </si>
  <si>
    <t>По КУМИ:
 - в связи с ликвидацией МП БСК "Одиссей" и необходимостью оплаты сложившейся задолженности (зарплата, коммунальные, прочие), так как КУМИ несет ответственность как учредитель при ликвидации учреждения, в сумме 900,0т.р.</t>
  </si>
  <si>
    <t>Переносятся ассигнования с одного ГРБС на другого:</t>
  </si>
  <si>
    <t xml:space="preserve"> - по муниципальной программе "Обеспечение доступным и комфортным жильем и коммунальными услугами", в связи с отсутствием необходимости и 100% финансированием доли софинансирования местного бюджета на приобретение жилья молодым семьям (4 семьи), ассигнования в сумме - 797,6тыс.руб. переносятнся на резервный фонд.</t>
  </si>
  <si>
    <t>По Администрации:
 - для оплаты за гсм, приобретение компьютера, ремонт МФУ, командировочные в сумме 100,0 т.р.;
 - для оплаты исполнительного листа ОАО "Кузбассэнергосбыт" в сумме - 26,8т.р.;
 - на командировочные расходы в сумме 100,0тыс.руб.;
 - для уплаты ежегодных взносов в Совет муниципальных образований в сумме - 97,2тыс.руб.;
 - по ГОиЧС для выплаты материального стимулирования добровольным пожарным в сумме 52,0тыс.руб.</t>
  </si>
  <si>
    <t>По Управлению образования:
 - для оплаты компенсации матерям до 3-х лет в сумме 1,0 т.р.;
 - в связи с увеличением МРОТ перераспределяются ассигнования на заработную плату в детских садах в сумме 374,3т.р.;
 - для оплаты пеней, штрафов по исполнительным листам ДД"Росток" в сумме 80,0т.р.;</t>
  </si>
  <si>
    <t>По управлению культуры:
 - для подготовки и проведения мероприятий, посвященных празднованию Дня шахтера, оплаты задолженности по исполнительным листам КомСАХ в сумме 18,8 т.р.</t>
  </si>
  <si>
    <t>По КУМИ:
 - в связи необходимостью оплаты труда по договорам ГПХ, оплаты за услуги  "Почта России", за приобретение канцтоваров на  сумму -  220,0 т.р.</t>
  </si>
  <si>
    <t>Факт на 01.08.2016</t>
  </si>
  <si>
    <t>530,0(по факту поступления на 01.08.16г)</t>
  </si>
  <si>
    <t>573,0 (по факту поступления на 01.08.16г,)</t>
  </si>
  <si>
    <t>120,0  (по факту поступления на 01.08.16г,)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</si>
  <si>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</si>
  <si>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398,0 (по факту поступления на 01.08.2016г)</t>
  </si>
  <si>
    <t>22,0(по факту поступления на 01.08.2016г)</t>
  </si>
  <si>
    <t>1512,0 (по факту поступления на 01.08.2016г)</t>
  </si>
  <si>
    <t xml:space="preserve">1500,0(письмо КУМИ от 09.08.2016г №580)             </t>
  </si>
  <si>
    <t>158,0 (по факту поступления на 01.08.2016г)</t>
  </si>
  <si>
    <t>Денежные взыскания(штрафы) за административные правонарушение в области налогов и сборов, предусмотренные Кодексом  РФ об административных правонарушениях</t>
  </si>
  <si>
    <t>12,0 (по факту поступления на 01.08.2016г)</t>
  </si>
  <si>
    <t>239,0 (по факту поступления на 01.08.2016г)</t>
  </si>
  <si>
    <t>81,0 (по факту поступления на 01.08.2016г)</t>
  </si>
  <si>
    <t>Денежные взыскания (штрафы)  за административные правонарушения в области государственного регулирования производства и оборота табачной продукции</t>
  </si>
  <si>
    <t>40,0 (по факту поступления на 01.08.2016г)</t>
  </si>
  <si>
    <t>4822,0 (по факту поступления на 01.08.2016г)</t>
  </si>
  <si>
    <t>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</si>
  <si>
    <t>10% согласно баланса финансово хозяйственной деятельности предприятий за 2015год</t>
  </si>
  <si>
    <t xml:space="preserve"> - на доведение до МРОТ ФОТ АХО в сумме - 228,4т.р.</t>
  </si>
  <si>
    <t xml:space="preserve"> - на ФОТ учреждений управления культуры в сумме - 1215,1т.р.</t>
  </si>
  <si>
    <t xml:space="preserve"> - на доступную среду для детей-инвалидов в составе субсидии "Развитие единого образовательного пространства, повышение качества образовательных результатов в рамках подпрограммы «Развитие дошкольного, общего образования и дополнительного образования детей»  (детский сад №3: замена пандуса, приобретение теневых навесов с поручнями, замена линолиума, оборудование для туалетных комнат для детей-инвалидов) на 816,0 т.р. ;</t>
  </si>
  <si>
    <t>По УЖКХ:
-  для оплаты кредиторской задолжености за электроэнергию, доставку песка, штрафа ГИБДД в сумме 3000,0 т.р.;
 - для бесперебойной работы отдела УЖКХ в опрерационных системах, на приобретение компьютеров в сумме 1,1 т.р.;</t>
  </si>
  <si>
    <t>По УСЗН:
 - в связи с увеличением кадастровой стоимости земли, на основаниии ходатайства МКУ "Реабилитационный центр для детей и подростков" для оплаты земельного налога в сумме 34,1 т.р.;
 - в связи с увеличением МРОТ с 1.07.2016г., для оплаты заработной платы молодежным отрядам в сумме - 1,2т.р.</t>
  </si>
  <si>
    <t xml:space="preserve"> - Архиву на погашение кредиторской задолженности за технологическое присоединение к электрическим сетям ОАО "Кузбассэнергосбыт", за проектные работы ООО "Электротехпроект", на возмещение коммунальных услуг ОАО "Анжеромаш", на обучение пожарно-техническому минимуму для руководителей в РППЦ "Тетраком" в сумме - 219,6т.р.</t>
  </si>
  <si>
    <t xml:space="preserve">Управлоению культуры: </t>
  </si>
  <si>
    <t xml:space="preserve"> - на ФОТ учреждений в сумме - 2497,1т.р.</t>
  </si>
  <si>
    <t>4.  Итог сбалансированности бюджета:</t>
  </si>
  <si>
    <r>
      <t>1.1.1.</t>
    </r>
    <r>
      <rPr>
        <b/>
        <u/>
        <sz val="13"/>
        <rFont val="Times New Roman"/>
        <family val="1"/>
        <charset val="204"/>
      </rPr>
      <t xml:space="preserve"> дотации  </t>
    </r>
    <r>
      <rPr>
        <sz val="13"/>
        <rFont val="Times New Roman"/>
        <family val="1"/>
        <charset val="204"/>
      </rPr>
      <t xml:space="preserve">увеличиваются на 24924,0 на тыс руб: </t>
    </r>
  </si>
  <si>
    <r>
      <t xml:space="preserve">1.1.2. </t>
    </r>
    <r>
      <rPr>
        <b/>
        <u/>
        <sz val="13"/>
        <rFont val="Times New Roman"/>
        <family val="1"/>
        <charset val="204"/>
      </rPr>
      <t>субсидии</t>
    </r>
    <r>
      <rPr>
        <sz val="13"/>
        <rFont val="Times New Roman"/>
        <family val="1"/>
        <charset val="204"/>
      </rPr>
      <t xml:space="preserve"> увеличиваются на  33,5 на тыс руб: </t>
    </r>
  </si>
  <si>
    <r>
      <t xml:space="preserve">1.1.3 </t>
    </r>
    <r>
      <rPr>
        <b/>
        <u/>
        <sz val="13"/>
        <rFont val="Times New Roman"/>
        <family val="1"/>
        <charset val="204"/>
      </rPr>
      <t>субвенции</t>
    </r>
    <r>
      <rPr>
        <sz val="13"/>
        <rFont val="Times New Roman"/>
        <family val="1"/>
        <charset val="204"/>
      </rPr>
      <t xml:space="preserve"> уменьшаются на 6962,1 тыс. руб.:  </t>
    </r>
  </si>
  <si>
    <r>
      <t xml:space="preserve">1.1.4 </t>
    </r>
    <r>
      <rPr>
        <b/>
        <u/>
        <sz val="13"/>
        <rFont val="Times New Roman"/>
        <family val="1"/>
        <charset val="204"/>
      </rPr>
      <t>иные межбюджетные трансферты</t>
    </r>
    <r>
      <rPr>
        <sz val="13"/>
        <rFont val="Times New Roman"/>
        <family val="1"/>
        <charset val="204"/>
      </rPr>
      <t xml:space="preserve"> увеличиваются на 720,0 тыс.рублей</t>
    </r>
  </si>
  <si>
    <r>
      <t>Денежные взыскания (штрафы) за нарушение законодательства о налогах и сборах, предусмотренные ст. 116, 118, 119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п. 1 и 2 ст. 120, ст.125, 126, 128, 129, 129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132, 133, 134, 135, 135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 xml:space="preserve">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Федерации </t>
    </r>
  </si>
  <si>
    <r>
      <rPr>
        <b/>
        <sz val="13"/>
        <rFont val="Times New Roman"/>
        <family val="1"/>
        <charset val="204"/>
      </rPr>
      <t>2.</t>
    </r>
    <r>
      <rPr>
        <sz val="13"/>
        <rFont val="Times New Roman"/>
        <family val="1"/>
        <charset val="204"/>
      </rPr>
      <t xml:space="preserve"> Изменения по расходам местного бюджета вносятся (приложения № 2, 3, 4): </t>
    </r>
  </si>
  <si>
    <r>
      <rPr>
        <b/>
        <sz val="13"/>
        <rFont val="Times New Roman"/>
        <family val="1"/>
        <charset val="204"/>
      </rPr>
      <t>2.1.</t>
    </r>
    <r>
      <rPr>
        <sz val="13"/>
        <rFont val="Times New Roman"/>
        <family val="1"/>
        <charset val="204"/>
      </rPr>
      <t xml:space="preserve">  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  </r>
  </si>
  <si>
    <r>
      <t>Переносятся ассигнования с одной БК на другую:</t>
    </r>
    <r>
      <rPr>
        <sz val="13"/>
        <rFont val="Times New Roman"/>
        <family val="1"/>
        <charset val="204"/>
      </rPr>
      <t xml:space="preserve">
По Управлению образования:
  - для софинансирования мероприятий государственной программы РФ "Доступная среда" на 2011-2020 годы, в соответствии с соглашением на создание в дошкольных образовательных организациях условий для инклюзивного образования детей-инвалидов, в том числе создание универсальной безбарьерной среды для беспрепятственного доступа для детей-инвалидов  в сумме 82,0 т.р.;</t>
    </r>
  </si>
  <si>
    <t>3. По источникам финансирования:
 В связи с поступлением дополнительных доходов увеличиваются источники финансирования дефицита бюджета по строке "Получение кредитов от кредитных организаций бюджетами городских округов в валюте Российской Федерации" на 2497,1 т.р. (или до 10 % от объема доходов местного бюджета на 2016 год без учета безвозмездных поступлений и дополнительного норматива отчислений от налога на доходы физических лиц, без учета снижения остатков средств на счетах по учету средств местного бюджета).</t>
  </si>
  <si>
    <r>
      <rPr>
        <b/>
        <sz val="13"/>
        <rFont val="Times New Roman"/>
        <family val="1"/>
        <charset val="204"/>
      </rPr>
      <t>1.3</t>
    </r>
    <r>
      <rPr>
        <sz val="13"/>
        <rFont val="Times New Roman"/>
        <family val="1"/>
        <charset val="204"/>
      </rPr>
      <t xml:space="preserve"> В связи с дополнительным поступлением доходов увеличиваются прочие безвозмездные поступления на сумму 65,0 тыс.рублей.:    в т.ч. финпомощь от ЗАО "Управляющая компания КЕМ-ОЙЛ" 45,0тыс.руб.; 20,0 тыс.руб. финпомощь от Н.К.Крушинского</t>
    </r>
  </si>
  <si>
    <t>ИТОГО доходов собственной базы:1500,0+65,0=1565,0 тыс. рублей</t>
  </si>
  <si>
    <t xml:space="preserve"> </t>
  </si>
  <si>
    <r>
      <rPr>
        <b/>
        <sz val="14"/>
        <rFont val="Times New Roman"/>
        <family val="1"/>
        <charset val="204"/>
      </rPr>
      <t>2.</t>
    </r>
    <r>
      <rPr>
        <sz val="14"/>
        <rFont val="Times New Roman"/>
        <family val="1"/>
        <charset val="204"/>
      </rPr>
      <t xml:space="preserve"> Изменения по расходам местного бюджета вносятся (приложения 2, 3, 4): </t>
    </r>
  </si>
  <si>
    <r>
      <rPr>
        <b/>
        <sz val="14"/>
        <rFont val="Times New Roman"/>
        <family val="1"/>
        <charset val="204"/>
      </rPr>
      <t>2.2.</t>
    </r>
    <r>
      <rPr>
        <sz val="14"/>
        <rFont val="Times New Roman"/>
        <family val="1"/>
        <charset val="204"/>
      </rPr>
      <t xml:space="preserve"> По ходатайствам бюджетных учреждений:</t>
    </r>
  </si>
  <si>
    <t>к  решению  «О внесении изменений в решение  Совета народных депутатов  Анжеро-Судженского городского округа от 21.12.2017  № 95 «О  бюджете  муниципального образования «Анжеро-Судженский городской округ» на 2018 год  и плановый период  2019 и 2020 годов»</t>
  </si>
  <si>
    <t>1. Изменения по доходам вносятся на 2018 год:</t>
  </si>
  <si>
    <t>1.2. Вносятся изменения в план по доходам налоговых и  неналоговых платежей на 2018 год:</t>
  </si>
  <si>
    <t>План на 2018 год</t>
  </si>
  <si>
    <t>Единый налог на вмененный доход для отдельных видов деятельности</t>
  </si>
  <si>
    <t>Факт на 01.09.2018</t>
  </si>
  <si>
    <t>Налог, взимаемый в связи с применением патентной системы налогообложения, зачисляемый в бюджеты городских округов</t>
  </si>
  <si>
    <t>итого</t>
  </si>
  <si>
    <t>(тыс. руб)</t>
  </si>
  <si>
    <t>КФиС</t>
  </si>
  <si>
    <t xml:space="preserve"> 1.2. Изменения по доходам вносятся на 2019 год:</t>
  </si>
  <si>
    <t xml:space="preserve"> 1.3. Изменения по доходам вносятся на 2020 год:</t>
  </si>
  <si>
    <t>915 1003 08 6 00 80100 300</t>
  </si>
  <si>
    <t>915 1003 08 6 00 70060 300</t>
  </si>
  <si>
    <t>915 1003 08 6 00 80090 200</t>
  </si>
  <si>
    <t>915 1003 08 6 00 80090 300</t>
  </si>
  <si>
    <t>915 1003 08 6 00 70090 300</t>
  </si>
  <si>
    <t xml:space="preserve"> -Предоставление гражданам субсидий на оплату жилого помещения и коммунальных услуг на 3200,0т.р.</t>
  </si>
  <si>
    <t>915 1002 08 5 00 70160 600</t>
  </si>
  <si>
    <t>915 1002 08 5 00 70170 100</t>
  </si>
  <si>
    <t>911 0702 05 1 00 71820 100</t>
  </si>
  <si>
    <t>911 0702 05 1 00 71820 200</t>
  </si>
  <si>
    <t>915 1003 08 6 00 70080 300</t>
  </si>
  <si>
    <t>915 1003 08 6 00 70020 300</t>
  </si>
  <si>
    <t>915 1003 08 6 00 70030 300</t>
  </si>
  <si>
    <t>915 1004 08 6 00 53800 300</t>
  </si>
  <si>
    <t>915 1004 08 6 00 52700 300</t>
  </si>
  <si>
    <t xml:space="preserve"> -Осуществление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 на 45,0т.р.</t>
  </si>
  <si>
    <t>915 1004 08 6 00 55730 200</t>
  </si>
  <si>
    <t>915 1004 08 6 00 55730 300</t>
  </si>
  <si>
    <t>915 1003 08 6 00 51370 300</t>
  </si>
  <si>
    <t>915 1003 08 6 00 80010 300</t>
  </si>
  <si>
    <t>915 1003 08 6 00 80010 200</t>
  </si>
  <si>
    <t>911 0702 05 1 00 71830 100</t>
  </si>
  <si>
    <t>911 0702 05 1 00 71830 200</t>
  </si>
  <si>
    <t>911 0702 05 1 00 71830 600</t>
  </si>
  <si>
    <t>915 1003 08 6 00 80110 200</t>
  </si>
  <si>
    <t>915 1003 08 6 00 80110 300</t>
  </si>
  <si>
    <t>919 1003 08 6 00 80110 800</t>
  </si>
  <si>
    <t>915 1003 08 6 00 52800 200</t>
  </si>
  <si>
    <t>915 1003 08 6 00 52800 300</t>
  </si>
  <si>
    <t>911 1003 05 2 00 80120 300</t>
  </si>
  <si>
    <t xml:space="preserve"> 1.1.2.  субсидии увеличиваются  на 81,0тыс.руб.</t>
  </si>
  <si>
    <t xml:space="preserve"> 1.2.1. субсидии увеличиваются  на   тыс.руб</t>
  </si>
  <si>
    <t xml:space="preserve">  1.3.1.субсидии увеличиваются  на   тыс.руб</t>
  </si>
  <si>
    <t xml:space="preserve"> 1.1.3. иные межбюджетные трансферты увеличиваются на тыс. руб</t>
  </si>
  <si>
    <t xml:space="preserve"> 1.1.1. дотации   увеличиваются  на  100 879,0 тыс. руб;</t>
  </si>
  <si>
    <t xml:space="preserve"> 1.1.3.  субвенции  увеличиваются   на 13 900,20 тыс. руб;</t>
  </si>
  <si>
    <t>15602,0(по факту поступления на 01.10.2018г)</t>
  </si>
  <si>
    <t>40798,0(по факту поступления на 01.10.2018г)</t>
  </si>
  <si>
    <t>911 0701 05 1 00 71800 100</t>
  </si>
  <si>
    <t>911 0701 05 1 00 71800 600</t>
  </si>
  <si>
    <t>905 1004 04 1 00 71850 400</t>
  </si>
  <si>
    <t xml:space="preserve"> -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на 312,4628т.р.</t>
  </si>
  <si>
    <t>По КУМИ:</t>
  </si>
  <si>
    <t>919 0402 10 3 00 14101 800</t>
  </si>
  <si>
    <t>919 0502 10 3 00 11203 800</t>
  </si>
  <si>
    <t>900 0111 01 5 00 13071 800</t>
  </si>
  <si>
    <t>Упавление культуры</t>
  </si>
  <si>
    <t xml:space="preserve"> -Меры социальной поддержки по оплате жилых помещений и (или) коммунальных услуг отдельных категорий граждан, оказание мер социальной поддержки которым относится к ведению субъекта Российской Федерации на 850,0т.р.</t>
  </si>
  <si>
    <t xml:space="preserve"> -Денежная выплата отдельным категориям граждан  на 88,0т.р.</t>
  </si>
  <si>
    <t xml:space="preserve"> -Обеспечение мер социальной поддержки ветеранов Великой Отечественной войны, проработавших в тылу в период с 22 июня 1941 года по 9 мая 1945 года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Великой Отечественной войны на 100,0т.р.</t>
  </si>
  <si>
    <t xml:space="preserve"> -Дополнительная мера социальной поддержки семей, имеющих детей на 650,0т.р.</t>
  </si>
  <si>
    <t xml:space="preserve"> -Меры социальной поддержки работников муниципальных учреждений социального обслуживания в виде пособий и компенсации на 15,0т.р.</t>
  </si>
  <si>
    <t xml:space="preserve"> -Выплата социального пособия на погребение и возмещение расходов по гарантированному перечню услуг по погребению на 18,1т.р.</t>
  </si>
  <si>
    <t xml:space="preserve"> -Выплаты инвалидам компенсаций страховых премий по договорам обязательного страхования гражданской ответственности владельцев транспортных средств на 1,5т.р.</t>
  </si>
  <si>
    <t xml:space="preserve"> -Выплата социального пособия на погребение и возмещение расходов по гарантированному перечню услуг по погребению на 31,9т.р.</t>
  </si>
  <si>
    <t xml:space="preserve"> -Ежемесячные денежные выплаты отдельным категориям граждан, воспитывающих детей в возрасте от 1,5 до 7 лет на 650,0т.р.</t>
  </si>
  <si>
    <t xml:space="preserve"> -Меры социальной поддержки отдельных категорий многодетных матерей  на 30,0т.р.</t>
  </si>
  <si>
    <t xml:space="preserve"> -Меры социальной поддержки отдельных категорий граждан на 30,0т.р.</t>
  </si>
  <si>
    <t xml:space="preserve"> -Обеспечение мер социальной поддержки реабилитированных лиц и лиц, признанных пострадавшими от политических репрессий на 100,0т.р.</t>
  </si>
  <si>
    <t xml:space="preserve"> -Выплата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 на 4017,0т.р.</t>
  </si>
  <si>
    <t xml:space="preserve"> -Выплата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 на 390,0т.р.</t>
  </si>
  <si>
    <r>
      <t>По УЖКХ:</t>
    </r>
    <r>
      <rPr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</si>
  <si>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По УСЗН:</t>
    </r>
    <r>
      <rPr>
        <sz val="14"/>
        <rFont val="Times New Roman"/>
        <family val="1"/>
        <charset val="204"/>
      </rPr>
      <t xml:space="preserve"> </t>
    </r>
  </si>
  <si>
    <r>
      <rPr>
        <b/>
        <sz val="14"/>
        <rFont val="Times New Roman"/>
        <family val="1"/>
        <charset val="204"/>
      </rPr>
      <t>2.1.</t>
    </r>
    <r>
      <rPr>
        <sz val="14"/>
        <rFont val="Times New Roman"/>
        <family val="1"/>
        <charset val="204"/>
      </rPr>
      <t xml:space="preserve">  На основании закона КО от 01.10.18 №72-ОЗ «О внесении изменений в Закон Кемеровской области «Об областном бюджете на 2018 год и на плановый период 2019 и 2020 годов» </t>
    </r>
  </si>
  <si>
    <t>904 1101 09 0 00 11013 600</t>
  </si>
  <si>
    <t>904 1101 09 0 00 15232 600</t>
  </si>
  <si>
    <t>904 0703 05 1 00 15231 600</t>
  </si>
  <si>
    <t>по КФиС:</t>
  </si>
  <si>
    <t>911 0709 05 1 00 71940 600</t>
  </si>
  <si>
    <t>900 0501 04 4 00 11201 400</t>
  </si>
  <si>
    <t>900 0501 04 4 00 12201 400</t>
  </si>
  <si>
    <t>913 0801 04 4 00 12201 400</t>
  </si>
  <si>
    <t>913 0801 06 0 00 13421 600</t>
  </si>
  <si>
    <t>915 1002 08 5 00 70170 200</t>
  </si>
  <si>
    <t>915 1002 08 5 00 70170 800</t>
  </si>
  <si>
    <t>900 0104 01 1 00 11031 200</t>
  </si>
  <si>
    <t>900 0309 03 2 00 11701 200</t>
  </si>
  <si>
    <t>900 0113 01 4 00 11401 600</t>
  </si>
  <si>
    <t>900 0113 03 3 00 11151 200</t>
  </si>
  <si>
    <t xml:space="preserve"> -Дотация для расчетов с теплоснабжающими организациями городлского округа (Каскад-Энерго- 11788,2т.р.; Теплоснабжение- 5325,7т.р.; КТС- 45951,6т.р.) на 63604,4т.р.</t>
  </si>
  <si>
    <t>Дотация на прочие расходы:</t>
  </si>
  <si>
    <t xml:space="preserve"> -АХО на 113,0т.р.</t>
  </si>
  <si>
    <t xml:space="preserve"> -МФЦ на 224,8т.р.</t>
  </si>
  <si>
    <t xml:space="preserve"> -ОООП на 5,0т.р.</t>
  </si>
  <si>
    <t xml:space="preserve"> -ГОиЧС на 40,0т.р.</t>
  </si>
  <si>
    <t>Городской архив:</t>
  </si>
  <si>
    <t>911 0701 05 1 00 11202 600</t>
  </si>
  <si>
    <t>911 0701 05 1 00 11202 100</t>
  </si>
  <si>
    <t>911 0702 05 1 00 11211 600</t>
  </si>
  <si>
    <t>911 0701 05 1 00 11202 200</t>
  </si>
  <si>
    <t>911 0703 05 1 00 11231 600</t>
  </si>
  <si>
    <t>911 0709 05 1 00 18221 600</t>
  </si>
  <si>
    <t>911 0702 05 1 00 12221 200</t>
  </si>
  <si>
    <t>911 0709 05 1 00 18221 100</t>
  </si>
  <si>
    <t>911 0709 05 3 00 11521 600</t>
  </si>
  <si>
    <t>911 0709 05 3 00 11351 600</t>
  </si>
  <si>
    <t>911 0709 05 1 00 12021 600</t>
  </si>
  <si>
    <t>911 0702 05 2 00 11012 600</t>
  </si>
  <si>
    <t>911 0709 05 3 00 11521 200</t>
  </si>
  <si>
    <t>913 0703 05 1 00 11231 600</t>
  </si>
  <si>
    <t>913 0801 06 0 00 11402 600</t>
  </si>
  <si>
    <t>913 0801 06 0 00 12411 600</t>
  </si>
  <si>
    <t>по Управлению культуры:</t>
  </si>
  <si>
    <t>900 0113 13 0 00 11171 600</t>
  </si>
  <si>
    <t xml:space="preserve"> -Выполнение полномочий Российской Федерации по осуществлению ежемесячной выплаты в связи с рождением (усыновлением) первого ребенка на 1000,0т.р.</t>
  </si>
  <si>
    <t>915 1006 08 1 00 11403 200</t>
  </si>
  <si>
    <t>900 0309 03 1 00 11002 200</t>
  </si>
  <si>
    <t>2019г.</t>
  </si>
  <si>
    <t>2020г.</t>
  </si>
  <si>
    <t>919 0503 15 0 00 L5550 200</t>
  </si>
  <si>
    <t>913 0801 04 4 00 12201 200</t>
  </si>
  <si>
    <t xml:space="preserve"> -Обеспечение деятельности по содержанию организаций для детей-сирот и детей, оставшихся без попечения родителей  (ФОТ педработников с 01.09.2018 +110,6т.р., питание - 600,0т.р., прочие расходы + 1175,1т.р.) на 685,7т.р.</t>
  </si>
  <si>
    <t xml:space="preserve"> -Обеспечение государственных гарантий реализации прав граждан на получение общедоступного и бесплатного дошкольного, начального  общего, основного общего, среднего (полного) общего образования и дополнительного образования детей в муниципальных общеобразовательных организациях  (ФОТ педработников с 01.09.2018) на 4432,6т.р.</t>
  </si>
  <si>
    <t xml:space="preserve"> -Обеспечение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(ФОТ педработников с 01.09.2018)  на 6952,9т.р.</t>
  </si>
  <si>
    <t xml:space="preserve"> - Дотация (ФОТ педработникам, медработникам доп.образования с 01.09.2018- 1217,8т.р., ФОТ медработникам в дошкольном образовании с 01.09.2018- 213,6т.р., коммунальные расходы- 7671,4т.р., прочие расходы- 4317,5т.р., аутсорсинг- 450,8т.р., на на погашения кредиторской задолженности за выполненные работы по ремонту учреждений- 17000,0т.р.) на 30871,1т.р.</t>
  </si>
  <si>
    <t xml:space="preserve"> - 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 (ФОТ соцработникам, медработникам с 01.09.2018) на 1339,0т.р. </t>
  </si>
  <si>
    <t xml:space="preserve"> -Обеспечение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  (ФОТ медработникам с 01.09.2018) на 110,0т.р.</t>
  </si>
  <si>
    <t xml:space="preserve"> -Дотация (ФОТ педработникам доп.образования с 01.09.2018- 551,5т.р., коммунальные расходы-134,5т.р.) на 686,0т.р.</t>
  </si>
  <si>
    <t>Дотация (увеличение ФОТ- 2 специалиста с 01.10.2018- 95,0т.р., коммунальные- 1,6т.р.) на 96,6т.р.</t>
  </si>
  <si>
    <t xml:space="preserve">                                                               2019 год 796,4 тыс.руб.</t>
  </si>
  <si>
    <t xml:space="preserve">                                                               2020 год 822,0 тыс.руб.</t>
  </si>
  <si>
    <t>919 0505 10 4 00 11043 100</t>
  </si>
  <si>
    <t xml:space="preserve"> -Организация круглогодичного отдыха, оздоровления и занятости обучающихся (профильные смены, приобретение путевок в Санкт-Петербург) на 81,0т.р.</t>
  </si>
  <si>
    <t>911 0709 05 1 00 18221 200</t>
  </si>
  <si>
    <t>Налог, взимаемый в связи с применением упрощенной системы налогообложения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</si>
  <si>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</si>
  <si>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Прочие доходы от компенсации затрат бюджетов городских округов </t>
  </si>
  <si>
    <t>42138,0(по факту поступления на 01.10.2018г)</t>
  </si>
  <si>
    <t>4778,7(по факту поступления на 01.10.2018г)</t>
  </si>
  <si>
    <t>373,0(по факту поступления на 01.10.2018г)</t>
  </si>
  <si>
    <t xml:space="preserve">1.1.  На основании закона КО от  01.10.18 №72-ОЗ  «О внесении изменений в Закон Кемеровской области «Об областном бюджете на 2018 год и на плановый период 2019 и 2020 годов» </t>
  </si>
  <si>
    <t>915 1006 08 4 00 70280 100</t>
  </si>
  <si>
    <t>915 1006 08 4 00 70280 200</t>
  </si>
  <si>
    <t>900 0501 04 3 00 14151 200</t>
  </si>
  <si>
    <t>919 0113 02 0 00 16001 800</t>
  </si>
  <si>
    <t>919 0502 10 1 00 11301 200</t>
  </si>
  <si>
    <t>919 1006 08 1 00 14401 300</t>
  </si>
  <si>
    <t>919 0503 11 5 00 11152 600</t>
  </si>
  <si>
    <t>907 0103 99 0 00 20121 100</t>
  </si>
  <si>
    <t>907 0103 99 0 00 24001 200</t>
  </si>
  <si>
    <t>СНД</t>
  </si>
  <si>
    <t>900 0113 04 4 00 13201 600</t>
  </si>
  <si>
    <t xml:space="preserve"> -Дотация (ФОТ педработникам доп.образования с 01.09.2018- 311,0т.р., ФОТ работникам культуры с 01.09.2018 - 1507,0 т.р.,  прочие расходы-700,0т.р., ) на 2518,0 т.р.</t>
  </si>
  <si>
    <r>
      <t xml:space="preserve">По Администрации:
</t>
    </r>
    <r>
      <rPr>
        <sz val="14"/>
        <rFont val="Times New Roman"/>
        <family val="1"/>
        <charset val="204"/>
      </rPr>
      <t xml:space="preserve"> -Дотация на (резервный фонд- 1783,8т.р.; создание МБУ "УКС АСГО"- 555,6т.р.) на 2339,4 т.р.</t>
    </r>
  </si>
  <si>
    <t>формулы
 доходы</t>
  </si>
  <si>
    <t xml:space="preserve">   2020 год  на сумму 822,0 тыс.руб</t>
  </si>
  <si>
    <t xml:space="preserve">    2019 год  на сумму 796,4 тыс.руб.</t>
  </si>
  <si>
    <r>
      <t xml:space="preserve">По Администрации:
</t>
    </r>
    <r>
      <rPr>
        <sz val="14"/>
        <rFont val="Times New Roman"/>
        <family val="1"/>
        <charset val="204"/>
      </rPr>
      <t>-для сноса расселенного жилого фонда, здания котельной №15, здания школы №20 в сумме 1000,0т.р.;
 - для установки конференц-связи в кабинете Главы города в сумме 272,0 т.р.;</t>
    </r>
  </si>
  <si>
    <t>900 0104 01 1 00 11021 200</t>
  </si>
  <si>
    <t>915 1006 08 1 00 12401 600</t>
  </si>
  <si>
    <t>915 1002 08 6 00 70190 100</t>
  </si>
  <si>
    <t>900 0104 01 1 00 11021 100</t>
  </si>
  <si>
    <t>900 0501 04 4 00 12201 200</t>
  </si>
  <si>
    <t>919 0503 15 0 00 11007 200</t>
  </si>
  <si>
    <t>919 0505 10 4 00 11043 200</t>
  </si>
  <si>
    <t>900 0104 01 1 00 11021 800</t>
  </si>
  <si>
    <t>919 0502 10 1 00 19301 200</t>
  </si>
  <si>
    <t>911 1003 05 2 00 72010 600</t>
  </si>
  <si>
    <t>913 1003 05 2 00 72010 300</t>
  </si>
  <si>
    <t xml:space="preserve">     2018 год на сумму 20 251,7 тыс.руб.</t>
  </si>
  <si>
    <t>ВСЕГО доходов собственной базы 2018 год  20 251,7  тыс.руб.</t>
  </si>
  <si>
    <t>919 0502 101 00 11060 200</t>
  </si>
  <si>
    <t>911 0702 05 1 00 12221 800</t>
  </si>
  <si>
    <t>911 0709 05 3 00 11521 800</t>
  </si>
  <si>
    <t>911 0709 051 00 12021 600</t>
  </si>
  <si>
    <r>
      <t xml:space="preserve">По Управлению образования: 
 - </t>
    </r>
    <r>
      <rPr>
        <sz val="14"/>
        <rFont val="Times New Roman"/>
        <family val="1"/>
        <charset val="204"/>
      </rPr>
      <t>на оплату прочих расходов в сумме 9140,9 т.р.;</t>
    </r>
  </si>
  <si>
    <r>
      <rPr>
        <b/>
        <sz val="14"/>
        <rFont val="Times New Roman"/>
        <family val="1"/>
        <charset val="204"/>
      </rPr>
      <t>По УЖКХ:</t>
    </r>
    <r>
      <rPr>
        <sz val="14"/>
        <rFont val="Times New Roman"/>
        <family val="1"/>
        <charset val="204"/>
      </rPr>
      <t xml:space="preserve">
- для оплаты кредиторской задолженности по мероприятиям направленным на энергосбережение и повышение энергоэффективности городского округа- 5150,2т.р., по возмещению затрат связанных с содержанием незаселенных муниципальных жилых помещений- 975,0т.р.; по возмещению затрат по содержанию специализированного жилищного фонда- 1513,6т.р.; по вывозу мусора- 2000,0т.р.; для проведения технического обследования сетей и объектов водоотведения, а также разработки долгосрочных параметров регулирования -  200,0 т.р.) в сумме 9838,8т.р.
 - по программе "Формирование современной городской среды" за счет средств собственников 2019 год на 796,4т.р., 2020 год на 822,0т.р.   </t>
    </r>
  </si>
  <si>
    <r>
      <rPr>
        <b/>
        <sz val="14"/>
        <rFont val="Times New Roman"/>
        <family val="1"/>
        <charset val="204"/>
      </rPr>
      <t>1.3.</t>
    </r>
    <r>
      <rPr>
        <sz val="14"/>
        <rFont val="Times New Roman"/>
        <family val="1"/>
        <charset val="204"/>
      </rPr>
      <t xml:space="preserve"> Кроме того увеличиваются прочие безвозмездные поступления: 
                                                     </t>
    </r>
  </si>
  <si>
    <t xml:space="preserve"> -Дотация- адресная помощь для приобретения пожарных извещателей многодетным семьям, проживающим в частном секторе на 380,7т.р.</t>
  </si>
  <si>
    <t>3. По источникам финансирования дефицита бюджета увеличивается строка "Получение кредитов от кредитных организаций бюджетами городских округов в валюте Российской Федерации" на 416,2 т.р., для снижения процентной ставки по кредиту, полученному от кредитной организации ПАО «Сбербанк России» в объеме 36610,8т.р. (процентная ставка – с  27.06.18 – 8,8% (доп. соглашение от 27.06.2018г.). В настоящее время ведется работа по перекредитованию, в результате ожидается снижение ставки как минимум до 8,5%)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</si>
</sst>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0"/>
    <numFmt numFmtId="166" formatCode="0.0000"/>
  </numFmts>
  <fonts count="31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3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i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name val="Times"/>
      <family val="1"/>
    </font>
    <font>
      <sz val="8"/>
      <name val="Arial Cyr"/>
      <charset val="204"/>
    </font>
    <font>
      <vertAlign val="superscript"/>
      <sz val="11"/>
      <name val="Times"/>
      <family val="1"/>
    </font>
    <font>
      <i/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rgb="FFFF0000"/>
      <name val="Arial Cyr"/>
      <charset val="204"/>
    </font>
    <font>
      <sz val="12"/>
      <color theme="9" tint="-0.249977111117893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57">
    <xf numFmtId="0" fontId="0" fillId="0" borderId="0" xfId="0"/>
    <xf numFmtId="164" fontId="3" fillId="0" borderId="0" xfId="0" applyNumberFormat="1" applyFont="1" applyFill="1" applyBorder="1"/>
    <xf numFmtId="49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ont="1" applyFill="1"/>
    <xf numFmtId="16" fontId="6" fillId="0" borderId="0" xfId="0" applyNumberFormat="1" applyFont="1" applyFill="1" applyAlignment="1">
      <alignment horizontal="left" wrapText="1"/>
    </xf>
    <xf numFmtId="49" fontId="3" fillId="0" borderId="1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10" fillId="0" borderId="0" xfId="0" applyFont="1" applyFill="1"/>
    <xf numFmtId="164" fontId="0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wrapText="1"/>
    </xf>
    <xf numFmtId="16" fontId="4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6" fillId="0" borderId="5" xfId="0" applyNumberFormat="1" applyFont="1" applyFill="1" applyBorder="1" applyAlignment="1">
      <alignment vertical="top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/>
    <xf numFmtId="0" fontId="9" fillId="0" borderId="1" xfId="0" applyFont="1" applyFill="1" applyBorder="1" applyAlignment="1">
      <alignment horizontal="right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165" fontId="0" fillId="0" borderId="0" xfId="0" applyNumberFormat="1" applyFont="1" applyFill="1"/>
    <xf numFmtId="0" fontId="9" fillId="0" borderId="8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wrapText="1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2" fontId="9" fillId="0" borderId="1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top" wrapText="1"/>
    </xf>
    <xf numFmtId="0" fontId="19" fillId="0" borderId="6" xfId="0" applyFont="1" applyFill="1" applyBorder="1" applyAlignment="1">
      <alignment wrapText="1"/>
    </xf>
    <xf numFmtId="0" fontId="19" fillId="0" borderId="6" xfId="0" applyFont="1" applyFill="1" applyBorder="1" applyAlignment="1">
      <alignment vertical="top" wrapText="1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right" wrapText="1"/>
    </xf>
    <xf numFmtId="0" fontId="20" fillId="0" borderId="0" xfId="0" applyFont="1" applyFill="1"/>
    <xf numFmtId="164" fontId="0" fillId="0" borderId="1" xfId="0" applyNumberFormat="1" applyFont="1" applyFill="1" applyBorder="1"/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/>
    <xf numFmtId="0" fontId="19" fillId="2" borderId="10" xfId="0" applyFont="1" applyFill="1" applyBorder="1" applyAlignment="1">
      <alignment wrapText="1"/>
    </xf>
    <xf numFmtId="0" fontId="19" fillId="2" borderId="1" xfId="0" applyFont="1" applyFill="1" applyBorder="1" applyAlignment="1">
      <alignment horizontal="justify" vertical="top" wrapText="1"/>
    </xf>
    <xf numFmtId="0" fontId="19" fillId="2" borderId="6" xfId="0" applyFont="1" applyFill="1" applyBorder="1" applyAlignment="1">
      <alignment wrapText="1"/>
    </xf>
    <xf numFmtId="0" fontId="19" fillId="2" borderId="1" xfId="0" applyNumberFormat="1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right" wrapText="1"/>
    </xf>
    <xf numFmtId="49" fontId="0" fillId="0" borderId="0" xfId="0" applyNumberFormat="1" applyFont="1" applyFill="1"/>
    <xf numFmtId="0" fontId="22" fillId="0" borderId="0" xfId="0" applyFont="1" applyFill="1"/>
    <xf numFmtId="49" fontId="9" fillId="0" borderId="1" xfId="0" applyNumberFormat="1" applyFont="1" applyFill="1" applyBorder="1" applyAlignment="1">
      <alignment horizontal="left"/>
    </xf>
    <xf numFmtId="0" fontId="0" fillId="0" borderId="1" xfId="0" applyFont="1" applyFill="1" applyBorder="1"/>
    <xf numFmtId="0" fontId="9" fillId="0" borderId="9" xfId="0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164" fontId="11" fillId="0" borderId="2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vertical="center"/>
    </xf>
    <xf numFmtId="0" fontId="25" fillId="0" borderId="0" xfId="0" applyFont="1" applyFill="1"/>
    <xf numFmtId="0" fontId="27" fillId="0" borderId="0" xfId="0" applyFont="1" applyFill="1" applyBorder="1" applyAlignment="1">
      <alignment horizontal="right"/>
    </xf>
    <xf numFmtId="0" fontId="25" fillId="0" borderId="0" xfId="0" applyFont="1" applyFill="1" applyAlignment="1">
      <alignment vertical="center"/>
    </xf>
    <xf numFmtId="49" fontId="26" fillId="0" borderId="1" xfId="0" applyNumberFormat="1" applyFont="1" applyFill="1" applyBorder="1"/>
    <xf numFmtId="0" fontId="26" fillId="0" borderId="1" xfId="0" applyFont="1" applyFill="1" applyBorder="1"/>
    <xf numFmtId="164" fontId="26" fillId="0" borderId="1" xfId="0" applyNumberFormat="1" applyFont="1" applyFill="1" applyBorder="1"/>
    <xf numFmtId="49" fontId="26" fillId="0" borderId="0" xfId="0" applyNumberFormat="1" applyFont="1" applyFill="1" applyBorder="1"/>
    <xf numFmtId="49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/>
    <xf numFmtId="164" fontId="26" fillId="0" borderId="0" xfId="0" applyNumberFormat="1" applyFont="1" applyFill="1" applyBorder="1"/>
    <xf numFmtId="164" fontId="25" fillId="0" borderId="0" xfId="0" applyNumberFormat="1" applyFont="1" applyFill="1"/>
    <xf numFmtId="2" fontId="28" fillId="0" borderId="0" xfId="0" applyNumberFormat="1" applyFont="1" applyFill="1" applyBorder="1" applyAlignment="1">
      <alignment horizontal="left" wrapText="1"/>
    </xf>
    <xf numFmtId="164" fontId="27" fillId="0" borderId="0" xfId="0" applyNumberFormat="1" applyFont="1" applyFill="1" applyBorder="1" applyAlignment="1">
      <alignment horizontal="right" wrapText="1"/>
    </xf>
    <xf numFmtId="16" fontId="27" fillId="0" borderId="0" xfId="0" applyNumberFormat="1" applyFont="1" applyFill="1" applyBorder="1" applyAlignment="1">
      <alignment wrapText="1"/>
    </xf>
    <xf numFmtId="0" fontId="24" fillId="0" borderId="0" xfId="0" applyNumberFormat="1" applyFont="1" applyFill="1" applyBorder="1" applyAlignment="1">
      <alignment vertical="top" wrapText="1"/>
    </xf>
    <xf numFmtId="164" fontId="27" fillId="0" borderId="0" xfId="0" applyNumberFormat="1" applyFont="1" applyFill="1" applyBorder="1" applyAlignment="1">
      <alignment wrapText="1"/>
    </xf>
    <xf numFmtId="0" fontId="24" fillId="0" borderId="0" xfId="0" applyFont="1" applyBorder="1" applyAlignment="1">
      <alignment vertical="center" wrapText="1"/>
    </xf>
    <xf numFmtId="164" fontId="24" fillId="0" borderId="0" xfId="0" applyNumberFormat="1" applyFont="1" applyFill="1" applyBorder="1" applyAlignment="1">
      <alignment wrapText="1"/>
    </xf>
    <xf numFmtId="0" fontId="27" fillId="0" borderId="0" xfId="0" applyFont="1" applyFill="1" applyBorder="1" applyAlignment="1">
      <alignment wrapText="1"/>
    </xf>
    <xf numFmtId="0" fontId="8" fillId="0" borderId="0" xfId="0" applyFont="1" applyFill="1" applyAlignment="1">
      <alignment horizontal="right"/>
    </xf>
    <xf numFmtId="164" fontId="27" fillId="0" borderId="1" xfId="0" applyNumberFormat="1" applyFont="1" applyFill="1" applyBorder="1" applyAlignment="1">
      <alignment horizontal="right"/>
    </xf>
    <xf numFmtId="164" fontId="27" fillId="0" borderId="1" xfId="0" applyNumberFormat="1" applyFont="1" applyFill="1" applyBorder="1"/>
    <xf numFmtId="0" fontId="4" fillId="0" borderId="1" xfId="0" applyFont="1" applyFill="1" applyBorder="1" applyAlignment="1">
      <alignment vertical="center"/>
    </xf>
    <xf numFmtId="164" fontId="4" fillId="0" borderId="1" xfId="0" applyNumberFormat="1" applyFont="1" applyFill="1" applyBorder="1" applyAlignment="1"/>
    <xf numFmtId="0" fontId="4" fillId="0" borderId="11" xfId="0" applyFont="1" applyFill="1" applyBorder="1" applyAlignment="1">
      <alignment horizontal="left" vertical="center"/>
    </xf>
    <xf numFmtId="0" fontId="24" fillId="0" borderId="7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right" vertical="center"/>
    </xf>
    <xf numFmtId="16" fontId="27" fillId="0" borderId="0" xfId="0" applyNumberFormat="1" applyFont="1" applyFill="1" applyBorder="1" applyAlignment="1">
      <alignment vertical="center" wrapText="1"/>
    </xf>
    <xf numFmtId="49" fontId="4" fillId="0" borderId="11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0" fontId="24" fillId="0" borderId="1" xfId="0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left" wrapText="1"/>
    </xf>
    <xf numFmtId="0" fontId="27" fillId="0" borderId="0" xfId="0" applyFont="1" applyFill="1" applyBorder="1" applyAlignment="1">
      <alignment horizontal="left" wrapText="1"/>
    </xf>
    <xf numFmtId="0" fontId="29" fillId="0" borderId="0" xfId="0" applyFont="1" applyFill="1"/>
    <xf numFmtId="0" fontId="27" fillId="0" borderId="9" xfId="0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/>
    <xf numFmtId="49" fontId="4" fillId="0" borderId="13" xfId="0" applyNumberFormat="1" applyFont="1" applyFill="1" applyBorder="1" applyAlignment="1"/>
    <xf numFmtId="49" fontId="4" fillId="0" borderId="16" xfId="0" applyNumberFormat="1" applyFont="1" applyFill="1" applyBorder="1" applyAlignment="1"/>
    <xf numFmtId="49" fontId="4" fillId="0" borderId="18" xfId="0" applyNumberFormat="1" applyFont="1" applyFill="1" applyBorder="1" applyAlignment="1"/>
    <xf numFmtId="49" fontId="4" fillId="0" borderId="7" xfId="0" applyNumberFormat="1" applyFont="1" applyFill="1" applyBorder="1" applyAlignment="1">
      <alignment horizontal="left"/>
    </xf>
    <xf numFmtId="49" fontId="4" fillId="0" borderId="11" xfId="0" applyNumberFormat="1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right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vertical="center"/>
    </xf>
    <xf numFmtId="166" fontId="25" fillId="0" borderId="0" xfId="0" applyNumberFormat="1" applyFont="1" applyFill="1"/>
    <xf numFmtId="0" fontId="6" fillId="0" borderId="1" xfId="0" applyFont="1" applyFill="1" applyBorder="1"/>
    <xf numFmtId="49" fontId="4" fillId="0" borderId="7" xfId="0" applyNumberFormat="1" applyFont="1" applyFill="1" applyBorder="1" applyAlignment="1">
      <alignment horizontal="left"/>
    </xf>
    <xf numFmtId="0" fontId="27" fillId="0" borderId="0" xfId="0" applyNumberFormat="1" applyFont="1" applyFill="1" applyAlignment="1">
      <alignment horizontal="left" wrapText="1"/>
    </xf>
    <xf numFmtId="0" fontId="27" fillId="0" borderId="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wrapText="1"/>
    </xf>
    <xf numFmtId="0" fontId="23" fillId="0" borderId="0" xfId="0" applyNumberFormat="1" applyFont="1" applyFill="1" applyAlignment="1">
      <alignment horizontal="left" wrapText="1"/>
    </xf>
    <xf numFmtId="49" fontId="4" fillId="0" borderId="7" xfId="0" applyNumberFormat="1" applyFont="1" applyFill="1" applyBorder="1" applyAlignment="1">
      <alignment horizontal="left"/>
    </xf>
    <xf numFmtId="164" fontId="27" fillId="0" borderId="1" xfId="0" applyNumberFormat="1" applyFont="1" applyFill="1" applyBorder="1" applyAlignment="1">
      <alignment horizontal="right" vertical="center"/>
    </xf>
    <xf numFmtId="49" fontId="4" fillId="0" borderId="7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justify" wrapText="1"/>
    </xf>
    <xf numFmtId="0" fontId="27" fillId="0" borderId="1" xfId="0" applyFont="1" applyFill="1" applyBorder="1" applyAlignment="1">
      <alignment vertical="justify"/>
    </xf>
    <xf numFmtId="164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distributed"/>
    </xf>
    <xf numFmtId="0" fontId="24" fillId="0" borderId="1" xfId="0" applyFont="1" applyFill="1" applyBorder="1" applyAlignment="1">
      <alignment vertical="justify"/>
    </xf>
    <xf numFmtId="164" fontId="24" fillId="0" borderId="1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left"/>
    </xf>
    <xf numFmtId="0" fontId="4" fillId="0" borderId="6" xfId="0" applyFont="1" applyFill="1" applyBorder="1" applyAlignment="1">
      <alignment horizontal="left" vertical="center"/>
    </xf>
    <xf numFmtId="0" fontId="24" fillId="0" borderId="11" xfId="0" applyFont="1" applyFill="1" applyBorder="1" applyAlignment="1">
      <alignment horizontal="left" vertical="center"/>
    </xf>
    <xf numFmtId="0" fontId="27" fillId="0" borderId="11" xfId="0" applyFont="1" applyFill="1" applyBorder="1" applyAlignment="1">
      <alignment horizontal="right" vertical="center"/>
    </xf>
    <xf numFmtId="164" fontId="27" fillId="0" borderId="7" xfId="0" applyNumberFormat="1" applyFont="1" applyFill="1" applyBorder="1" applyAlignment="1">
      <alignment horizontal="right"/>
    </xf>
    <xf numFmtId="164" fontId="6" fillId="0" borderId="1" xfId="0" applyNumberFormat="1" applyFont="1" applyFill="1" applyBorder="1"/>
    <xf numFmtId="0" fontId="27" fillId="0" borderId="0" xfId="0" applyNumberFormat="1" applyFont="1" applyFill="1" applyBorder="1" applyAlignment="1">
      <alignment horizontal="left" vertical="top" wrapText="1"/>
    </xf>
    <xf numFmtId="0" fontId="30" fillId="0" borderId="0" xfId="0" applyFont="1" applyFill="1"/>
    <xf numFmtId="0" fontId="30" fillId="0" borderId="0" xfId="0" applyFont="1" applyFill="1" applyAlignment="1">
      <alignment vertical="center"/>
    </xf>
    <xf numFmtId="2" fontId="30" fillId="0" borderId="1" xfId="0" applyNumberFormat="1" applyFont="1" applyFill="1" applyBorder="1"/>
    <xf numFmtId="0" fontId="30" fillId="0" borderId="1" xfId="0" applyFont="1" applyFill="1" applyBorder="1" applyAlignment="1">
      <alignment horizontal="right" wrapText="1"/>
    </xf>
    <xf numFmtId="0" fontId="30" fillId="0" borderId="1" xfId="0" applyFont="1" applyFill="1" applyBorder="1"/>
    <xf numFmtId="49" fontId="4" fillId="0" borderId="1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49" fontId="12" fillId="0" borderId="1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 wrapText="1"/>
    </xf>
    <xf numFmtId="164" fontId="1" fillId="0" borderId="0" xfId="0" applyNumberFormat="1" applyFont="1" applyFill="1" applyAlignment="1">
      <alignment horizontal="right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164" fontId="11" fillId="0" borderId="2" xfId="0" applyNumberFormat="1" applyFont="1" applyFill="1" applyBorder="1" applyAlignment="1">
      <alignment vertical="center"/>
    </xf>
    <xf numFmtId="164" fontId="11" fillId="0" borderId="8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4" fillId="0" borderId="0" xfId="0" applyNumberFormat="1" applyFont="1" applyFill="1" applyAlignment="1">
      <alignment horizontal="left" wrapText="1"/>
    </xf>
    <xf numFmtId="0" fontId="7" fillId="0" borderId="1" xfId="0" applyFont="1" applyFill="1" applyBorder="1" applyAlignment="1">
      <alignment horizontal="center" vertical="center"/>
    </xf>
    <xf numFmtId="0" fontId="17" fillId="0" borderId="0" xfId="0" applyNumberFormat="1" applyFont="1" applyFill="1" applyAlignment="1">
      <alignment horizontal="left" wrapText="1"/>
    </xf>
    <xf numFmtId="0" fontId="6" fillId="0" borderId="0" xfId="0" applyNumberFormat="1" applyFont="1" applyFill="1" applyAlignment="1">
      <alignment horizontal="left" wrapText="1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wrapText="1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49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16" fontId="6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 wrapText="1"/>
    </xf>
    <xf numFmtId="16" fontId="4" fillId="0" borderId="0" xfId="0" applyNumberFormat="1" applyFont="1" applyFill="1" applyBorder="1" applyAlignment="1">
      <alignment horizontal="left" vertical="top" wrapText="1"/>
    </xf>
    <xf numFmtId="16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top" wrapText="1"/>
    </xf>
    <xf numFmtId="0" fontId="27" fillId="0" borderId="2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wrapText="1"/>
    </xf>
    <xf numFmtId="164" fontId="27" fillId="0" borderId="0" xfId="0" applyNumberFormat="1" applyFont="1" applyFill="1" applyAlignment="1">
      <alignment horizontal="right" wrapText="1"/>
    </xf>
    <xf numFmtId="0" fontId="5" fillId="0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left" wrapText="1"/>
    </xf>
    <xf numFmtId="0" fontId="27" fillId="0" borderId="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left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 vertical="top" wrapText="1"/>
    </xf>
    <xf numFmtId="0" fontId="27" fillId="0" borderId="0" xfId="0" applyFont="1" applyFill="1" applyAlignment="1">
      <alignment horizontal="left" vertical="top" wrapText="1"/>
    </xf>
    <xf numFmtId="16" fontId="27" fillId="0" borderId="0" xfId="0" applyNumberFormat="1" applyFont="1" applyFill="1" applyBorder="1" applyAlignment="1">
      <alignment horizontal="left" wrapText="1"/>
    </xf>
    <xf numFmtId="0" fontId="27" fillId="0" borderId="0" xfId="0" applyFont="1" applyFill="1" applyBorder="1" applyAlignment="1">
      <alignment horizontal="left" vertical="justify" wrapText="1"/>
    </xf>
    <xf numFmtId="0" fontId="24" fillId="0" borderId="17" xfId="0" applyFont="1" applyFill="1" applyBorder="1" applyAlignment="1">
      <alignment horizontal="left" vertical="center"/>
    </xf>
    <xf numFmtId="0" fontId="27" fillId="0" borderId="0" xfId="0" applyNumberFormat="1" applyFont="1" applyFill="1" applyBorder="1" applyAlignment="1">
      <alignment horizontal="left" vertical="top" wrapText="1"/>
    </xf>
    <xf numFmtId="0" fontId="24" fillId="0" borderId="0" xfId="0" applyNumberFormat="1" applyFont="1" applyFill="1" applyBorder="1" applyAlignment="1">
      <alignment horizontal="left" wrapText="1"/>
    </xf>
    <xf numFmtId="0" fontId="27" fillId="0" borderId="0" xfId="0" applyFont="1" applyFill="1" applyAlignment="1">
      <alignment horizontal="left"/>
    </xf>
    <xf numFmtId="0" fontId="24" fillId="0" borderId="0" xfId="0" applyNumberFormat="1" applyFont="1" applyFill="1" applyBorder="1" applyAlignment="1">
      <alignment horizontal="left" vertical="top" wrapText="1"/>
    </xf>
    <xf numFmtId="0" fontId="27" fillId="0" borderId="0" xfId="0" applyNumberFormat="1" applyFont="1" applyFill="1" applyBorder="1" applyAlignment="1">
      <alignment horizontal="right" vertical="top" wrapText="1"/>
    </xf>
    <xf numFmtId="0" fontId="24" fillId="0" borderId="0" xfId="0" applyFont="1" applyFill="1" applyBorder="1" applyAlignment="1">
      <alignment horizontal="center" wrapText="1"/>
    </xf>
    <xf numFmtId="0" fontId="27" fillId="0" borderId="0" xfId="0" applyNumberFormat="1" applyFont="1" applyFill="1" applyAlignment="1">
      <alignment horizontal="left" wrapText="1"/>
    </xf>
    <xf numFmtId="0" fontId="24" fillId="0" borderId="0" xfId="0" applyNumberFormat="1" applyFont="1" applyFill="1" applyAlignment="1">
      <alignment horizontal="left" wrapText="1"/>
    </xf>
    <xf numFmtId="49" fontId="6" fillId="0" borderId="1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left"/>
    </xf>
    <xf numFmtId="0" fontId="23" fillId="0" borderId="0" xfId="0" applyNumberFormat="1" applyFont="1" applyFill="1" applyAlignment="1">
      <alignment horizontal="left" wrapText="1"/>
    </xf>
    <xf numFmtId="49" fontId="4" fillId="0" borderId="6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49" fontId="26" fillId="0" borderId="6" xfId="0" applyNumberFormat="1" applyFont="1" applyFill="1" applyBorder="1" applyAlignment="1">
      <alignment horizontal="center"/>
    </xf>
    <xf numFmtId="49" fontId="26" fillId="0" borderId="7" xfId="0" applyNumberFormat="1" applyFont="1" applyFill="1" applyBorder="1" applyAlignment="1">
      <alignment horizontal="center"/>
    </xf>
  </cellXfs>
  <cellStyles count="2">
    <cellStyle name="Обычный" xfId="0" builtinId="0"/>
    <cellStyle name="Процент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231"/>
  <sheetViews>
    <sheetView topLeftCell="A22" zoomScale="90" zoomScaleNormal="90" zoomScaleSheetLayoutView="75" workbookViewId="0">
      <selection activeCell="I34" sqref="I34"/>
    </sheetView>
  </sheetViews>
  <sheetFormatPr defaultColWidth="9.140625" defaultRowHeight="12.75" x14ac:dyDescent="0.2"/>
  <cols>
    <col min="1" max="1" width="35.85546875" style="5" customWidth="1"/>
    <col min="2" max="2" width="12.28515625" style="5" customWidth="1"/>
    <col min="3" max="3" width="14.5703125" style="5" customWidth="1"/>
    <col min="4" max="4" width="12.7109375" style="5" customWidth="1"/>
    <col min="5" max="5" width="16.42578125" style="5" customWidth="1"/>
    <col min="6" max="6" width="23" style="5" customWidth="1"/>
    <col min="7" max="8" width="9.5703125" style="5" customWidth="1"/>
    <col min="9" max="9" width="9.140625" style="5" customWidth="1"/>
    <col min="10" max="10" width="9.5703125" style="5" customWidth="1"/>
    <col min="11" max="12" width="9.140625" style="5" customWidth="1"/>
    <col min="13" max="13" width="13.140625" style="5" customWidth="1"/>
    <col min="14" max="14" width="9.140625" style="5" customWidth="1"/>
    <col min="15" max="16384" width="9.140625" style="5"/>
  </cols>
  <sheetData>
    <row r="1" spans="1:8" ht="19.5" customHeight="1" x14ac:dyDescent="0.25">
      <c r="A1" s="216" t="s">
        <v>0</v>
      </c>
      <c r="B1" s="216"/>
      <c r="C1" s="216"/>
      <c r="D1" s="216"/>
      <c r="E1" s="216"/>
      <c r="F1" s="216"/>
    </row>
    <row r="2" spans="1:8" ht="66.75" customHeight="1" x14ac:dyDescent="0.2">
      <c r="A2" s="217" t="s">
        <v>79</v>
      </c>
      <c r="B2" s="217"/>
      <c r="C2" s="217"/>
      <c r="D2" s="217"/>
      <c r="E2" s="217"/>
      <c r="F2" s="217"/>
    </row>
    <row r="3" spans="1:8" ht="15.75" customHeight="1" x14ac:dyDescent="0.3">
      <c r="A3" s="209" t="s">
        <v>90</v>
      </c>
      <c r="B3" s="209"/>
      <c r="C3" s="209"/>
      <c r="D3" s="209"/>
      <c r="E3" s="209"/>
      <c r="F3" s="209"/>
      <c r="G3" s="6"/>
      <c r="H3" s="6"/>
    </row>
    <row r="4" spans="1:8" ht="65.25" customHeight="1" x14ac:dyDescent="0.3">
      <c r="A4" s="218" t="s">
        <v>222</v>
      </c>
      <c r="B4" s="218"/>
      <c r="C4" s="218"/>
      <c r="D4" s="218"/>
      <c r="E4" s="218"/>
      <c r="F4" s="218"/>
      <c r="G4" s="6"/>
      <c r="H4" s="6"/>
    </row>
    <row r="5" spans="1:8" ht="18.75" customHeight="1" x14ac:dyDescent="0.3">
      <c r="A5" s="219" t="s">
        <v>233</v>
      </c>
      <c r="B5" s="219"/>
      <c r="C5" s="219"/>
      <c r="D5" s="219"/>
      <c r="E5" s="219"/>
      <c r="F5" s="219"/>
      <c r="G5" s="6"/>
      <c r="H5" s="6"/>
    </row>
    <row r="6" spans="1:8" ht="18.75" customHeight="1" x14ac:dyDescent="0.3">
      <c r="A6" s="219" t="s">
        <v>234</v>
      </c>
      <c r="B6" s="219"/>
      <c r="C6" s="219"/>
      <c r="D6" s="219"/>
      <c r="E6" s="219"/>
      <c r="F6" s="219"/>
      <c r="G6" s="6"/>
      <c r="H6" s="6"/>
    </row>
    <row r="7" spans="1:8" ht="17.25" customHeight="1" x14ac:dyDescent="0.3">
      <c r="A7" s="219" t="s">
        <v>235</v>
      </c>
      <c r="B7" s="219"/>
      <c r="C7" s="219"/>
      <c r="D7" s="219"/>
      <c r="E7" s="219"/>
      <c r="F7" s="219"/>
      <c r="G7" s="6"/>
      <c r="H7" s="6"/>
    </row>
    <row r="8" spans="1:8" ht="15.75" customHeight="1" x14ac:dyDescent="0.3">
      <c r="A8" s="209" t="s">
        <v>236</v>
      </c>
      <c r="B8" s="209"/>
      <c r="C8" s="209"/>
      <c r="D8" s="209"/>
      <c r="E8" s="209"/>
      <c r="F8" s="209"/>
      <c r="G8" s="6"/>
      <c r="H8" s="6"/>
    </row>
    <row r="9" spans="1:8" ht="35.25" customHeight="1" x14ac:dyDescent="0.3">
      <c r="A9" s="220" t="s">
        <v>91</v>
      </c>
      <c r="B9" s="220"/>
      <c r="C9" s="220"/>
      <c r="D9" s="220"/>
      <c r="E9" s="220"/>
      <c r="F9" s="220"/>
      <c r="G9" s="6"/>
      <c r="H9" s="6"/>
    </row>
    <row r="10" spans="1:8" ht="33.75" customHeight="1" x14ac:dyDescent="0.3">
      <c r="A10" s="50" t="s">
        <v>15</v>
      </c>
      <c r="B10" s="51" t="s">
        <v>46</v>
      </c>
      <c r="C10" s="51" t="s">
        <v>205</v>
      </c>
      <c r="D10" s="51" t="s">
        <v>16</v>
      </c>
      <c r="E10" s="51" t="s">
        <v>17</v>
      </c>
      <c r="F10" s="51" t="s">
        <v>18</v>
      </c>
      <c r="G10" s="6"/>
      <c r="H10" s="6"/>
    </row>
    <row r="11" spans="1:8" ht="36" customHeight="1" x14ac:dyDescent="0.3">
      <c r="A11" s="52" t="s">
        <v>76</v>
      </c>
      <c r="B11" s="28">
        <v>490</v>
      </c>
      <c r="C11" s="28">
        <v>529.79999999999995</v>
      </c>
      <c r="D11" s="28">
        <v>530</v>
      </c>
      <c r="E11" s="28">
        <f t="shared" ref="E11:E24" si="0">D11-B11</f>
        <v>40</v>
      </c>
      <c r="F11" s="29" t="s">
        <v>206</v>
      </c>
      <c r="G11" s="6"/>
      <c r="H11" s="6"/>
    </row>
    <row r="12" spans="1:8" ht="60" customHeight="1" x14ac:dyDescent="0.3">
      <c r="A12" s="53" t="s">
        <v>48</v>
      </c>
      <c r="B12" s="28">
        <v>273</v>
      </c>
      <c r="C12" s="28">
        <v>535.5</v>
      </c>
      <c r="D12" s="28">
        <v>573</v>
      </c>
      <c r="E12" s="28">
        <f t="shared" si="0"/>
        <v>300</v>
      </c>
      <c r="F12" s="29" t="s">
        <v>207</v>
      </c>
      <c r="G12" s="6"/>
      <c r="H12" s="6"/>
    </row>
    <row r="13" spans="1:8" ht="46.5" customHeight="1" x14ac:dyDescent="0.3">
      <c r="A13" s="53" t="s">
        <v>47</v>
      </c>
      <c r="B13" s="28">
        <v>40</v>
      </c>
      <c r="C13" s="28">
        <v>70.599999999999994</v>
      </c>
      <c r="D13" s="28">
        <v>120</v>
      </c>
      <c r="E13" s="28">
        <f t="shared" si="0"/>
        <v>80</v>
      </c>
      <c r="F13" s="29" t="s">
        <v>208</v>
      </c>
      <c r="G13" s="6"/>
      <c r="H13" s="6"/>
    </row>
    <row r="14" spans="1:8" ht="90" customHeight="1" x14ac:dyDescent="0.3">
      <c r="A14" s="62" t="s">
        <v>209</v>
      </c>
      <c r="B14" s="28">
        <v>439</v>
      </c>
      <c r="C14" s="28">
        <v>25</v>
      </c>
      <c r="D14" s="28">
        <v>138</v>
      </c>
      <c r="E14" s="28">
        <f t="shared" si="0"/>
        <v>-301</v>
      </c>
      <c r="F14" s="29" t="s">
        <v>223</v>
      </c>
      <c r="G14" s="6"/>
      <c r="H14" s="6"/>
    </row>
    <row r="15" spans="1:8" ht="48" customHeight="1" x14ac:dyDescent="0.3">
      <c r="A15" s="54" t="s">
        <v>19</v>
      </c>
      <c r="B15" s="28">
        <v>298</v>
      </c>
      <c r="C15" s="28">
        <v>329.8</v>
      </c>
      <c r="D15" s="28">
        <v>398</v>
      </c>
      <c r="E15" s="28">
        <f t="shared" si="0"/>
        <v>100</v>
      </c>
      <c r="F15" s="29" t="s">
        <v>210</v>
      </c>
      <c r="G15" s="6"/>
      <c r="H15" s="6"/>
    </row>
    <row r="16" spans="1:8" ht="44.25" customHeight="1" x14ac:dyDescent="0.3">
      <c r="A16" s="54" t="s">
        <v>77</v>
      </c>
      <c r="B16" s="28">
        <v>7</v>
      </c>
      <c r="C16" s="28">
        <v>17.600000000000001</v>
      </c>
      <c r="D16" s="28">
        <v>22</v>
      </c>
      <c r="E16" s="28">
        <f t="shared" si="0"/>
        <v>15</v>
      </c>
      <c r="F16" s="29" t="s">
        <v>211</v>
      </c>
      <c r="G16" s="6"/>
      <c r="H16" s="6"/>
    </row>
    <row r="17" spans="1:8" ht="40.5" customHeight="1" x14ac:dyDescent="0.3">
      <c r="A17" s="54" t="s">
        <v>23</v>
      </c>
      <c r="B17" s="28">
        <v>1062</v>
      </c>
      <c r="C17" s="28">
        <v>1432.6</v>
      </c>
      <c r="D17" s="28">
        <v>1512</v>
      </c>
      <c r="E17" s="28">
        <f t="shared" si="0"/>
        <v>450</v>
      </c>
      <c r="F17" s="29" t="s">
        <v>212</v>
      </c>
      <c r="G17" s="6"/>
      <c r="H17" s="6"/>
    </row>
    <row r="18" spans="1:8" ht="75.75" customHeight="1" x14ac:dyDescent="0.3">
      <c r="A18" s="55" t="s">
        <v>78</v>
      </c>
      <c r="B18" s="28">
        <v>9714</v>
      </c>
      <c r="C18" s="28">
        <v>10459.200000000001</v>
      </c>
      <c r="D18" s="28">
        <v>11214</v>
      </c>
      <c r="E18" s="28">
        <f t="shared" si="0"/>
        <v>1500</v>
      </c>
      <c r="F18" s="29" t="s">
        <v>213</v>
      </c>
      <c r="G18" s="6"/>
      <c r="H18" s="6"/>
    </row>
    <row r="19" spans="1:8" ht="160.5" customHeight="1" x14ac:dyDescent="0.3">
      <c r="A19" s="63" t="s">
        <v>237</v>
      </c>
      <c r="B19" s="28">
        <v>160</v>
      </c>
      <c r="C19" s="28">
        <v>87.1</v>
      </c>
      <c r="D19" s="28">
        <v>158</v>
      </c>
      <c r="E19" s="28">
        <f t="shared" si="0"/>
        <v>-2</v>
      </c>
      <c r="F19" s="29" t="s">
        <v>214</v>
      </c>
      <c r="G19" s="6"/>
      <c r="H19" s="6"/>
    </row>
    <row r="20" spans="1:8" ht="78.75" customHeight="1" x14ac:dyDescent="0.3">
      <c r="A20" s="64" t="s">
        <v>215</v>
      </c>
      <c r="B20" s="28">
        <v>10</v>
      </c>
      <c r="C20" s="28">
        <v>11.5</v>
      </c>
      <c r="D20" s="28">
        <v>12</v>
      </c>
      <c r="E20" s="28">
        <f t="shared" si="0"/>
        <v>2</v>
      </c>
      <c r="F20" s="29" t="s">
        <v>216</v>
      </c>
      <c r="G20" s="6"/>
      <c r="H20" s="6"/>
    </row>
    <row r="21" spans="1:8" ht="90.75" customHeight="1" x14ac:dyDescent="0.3">
      <c r="A21" s="64" t="s">
        <v>49</v>
      </c>
      <c r="B21" s="28">
        <v>209</v>
      </c>
      <c r="C21" s="28">
        <v>225</v>
      </c>
      <c r="D21" s="28">
        <v>239</v>
      </c>
      <c r="E21" s="28">
        <f t="shared" si="0"/>
        <v>30</v>
      </c>
      <c r="F21" s="29" t="s">
        <v>217</v>
      </c>
      <c r="G21" s="6"/>
      <c r="H21" s="6"/>
    </row>
    <row r="22" spans="1:8" ht="76.5" customHeight="1" x14ac:dyDescent="0.3">
      <c r="A22" s="64" t="s">
        <v>219</v>
      </c>
      <c r="B22" s="28">
        <v>30</v>
      </c>
      <c r="C22" s="28">
        <v>35</v>
      </c>
      <c r="D22" s="28">
        <v>40</v>
      </c>
      <c r="E22" s="28">
        <f>D22-B22</f>
        <v>10</v>
      </c>
      <c r="F22" s="29" t="s">
        <v>220</v>
      </c>
      <c r="G22" s="6"/>
      <c r="H22" s="6"/>
    </row>
    <row r="23" spans="1:8" ht="105.75" customHeight="1" x14ac:dyDescent="0.3">
      <c r="A23" s="65" t="s">
        <v>24</v>
      </c>
      <c r="B23" s="28">
        <v>41</v>
      </c>
      <c r="C23" s="28">
        <v>82.8</v>
      </c>
      <c r="D23" s="28">
        <v>81</v>
      </c>
      <c r="E23" s="28">
        <f t="shared" si="0"/>
        <v>40</v>
      </c>
      <c r="F23" s="29" t="s">
        <v>218</v>
      </c>
      <c r="G23" s="6"/>
      <c r="H23" s="6"/>
    </row>
    <row r="24" spans="1:8" ht="63" customHeight="1" thickBot="1" x14ac:dyDescent="0.35">
      <c r="A24" s="54" t="s">
        <v>33</v>
      </c>
      <c r="B24" s="28">
        <v>4822</v>
      </c>
      <c r="C24" s="28">
        <v>1761.9</v>
      </c>
      <c r="D24" s="28">
        <v>4058</v>
      </c>
      <c r="E24" s="28">
        <f t="shared" si="0"/>
        <v>-764</v>
      </c>
      <c r="F24" s="29" t="s">
        <v>221</v>
      </c>
      <c r="G24" s="6"/>
      <c r="H24" s="6"/>
    </row>
    <row r="25" spans="1:8" ht="18" customHeight="1" thickBot="1" x14ac:dyDescent="0.35">
      <c r="A25" s="30" t="s">
        <v>6</v>
      </c>
      <c r="B25" s="22"/>
      <c r="C25" s="22"/>
      <c r="D25" s="22"/>
      <c r="E25" s="66">
        <f>SUM(E11:E24)</f>
        <v>1500</v>
      </c>
      <c r="F25" s="23"/>
      <c r="G25" s="6"/>
      <c r="H25" s="6"/>
    </row>
    <row r="26" spans="1:8" ht="15.75" customHeight="1" x14ac:dyDescent="0.3">
      <c r="A26" s="25"/>
      <c r="B26" s="25"/>
      <c r="C26" s="25"/>
      <c r="D26" s="25"/>
      <c r="E26" s="25"/>
      <c r="F26" s="25"/>
      <c r="G26" s="6"/>
      <c r="H26" s="6"/>
    </row>
    <row r="27" spans="1:8" ht="54" customHeight="1" x14ac:dyDescent="0.3">
      <c r="A27" s="221" t="s">
        <v>242</v>
      </c>
      <c r="B27" s="221"/>
      <c r="C27" s="221"/>
      <c r="D27" s="221"/>
      <c r="E27" s="221"/>
      <c r="F27" s="221"/>
      <c r="G27" s="6"/>
      <c r="H27" s="6"/>
    </row>
    <row r="28" spans="1:8" ht="28.5" customHeight="1" x14ac:dyDescent="0.3">
      <c r="A28" s="213" t="s">
        <v>243</v>
      </c>
      <c r="B28" s="213"/>
      <c r="C28" s="213"/>
      <c r="D28" s="213"/>
      <c r="E28" s="213"/>
      <c r="F28" s="213"/>
      <c r="G28" s="6"/>
      <c r="H28" s="6"/>
    </row>
    <row r="29" spans="1:8" ht="19.5" customHeight="1" x14ac:dyDescent="0.3">
      <c r="A29" s="213"/>
      <c r="B29" s="213"/>
      <c r="C29" s="213"/>
      <c r="D29" s="213"/>
      <c r="E29" s="213"/>
      <c r="F29" s="213"/>
      <c r="G29" s="6"/>
      <c r="H29" s="6"/>
    </row>
    <row r="30" spans="1:8" ht="20.25" customHeight="1" x14ac:dyDescent="0.25">
      <c r="A30" s="214" t="s">
        <v>238</v>
      </c>
      <c r="B30" s="214"/>
      <c r="C30" s="214"/>
      <c r="D30" s="214"/>
      <c r="E30" s="214"/>
      <c r="F30" s="214"/>
    </row>
    <row r="31" spans="1:8" ht="52.5" customHeight="1" x14ac:dyDescent="0.25">
      <c r="A31" s="209" t="s">
        <v>239</v>
      </c>
      <c r="B31" s="209"/>
      <c r="C31" s="209"/>
      <c r="D31" s="209"/>
      <c r="E31" s="209"/>
      <c r="F31" s="209"/>
    </row>
    <row r="32" spans="1:8" ht="21.75" customHeight="1" x14ac:dyDescent="0.25">
      <c r="A32" s="215" t="s">
        <v>31</v>
      </c>
      <c r="B32" s="215"/>
      <c r="C32" s="215"/>
      <c r="D32" s="215"/>
      <c r="E32" s="215"/>
      <c r="F32" s="215"/>
    </row>
    <row r="33" spans="1:6" ht="102.75" customHeight="1" x14ac:dyDescent="0.25">
      <c r="A33" s="209" t="s">
        <v>197</v>
      </c>
      <c r="B33" s="209"/>
      <c r="C33" s="209"/>
      <c r="D33" s="209"/>
      <c r="E33" s="209"/>
      <c r="F33" s="209"/>
    </row>
    <row r="34" spans="1:6" ht="17.25" customHeight="1" x14ac:dyDescent="0.25">
      <c r="A34" s="209" t="s">
        <v>38</v>
      </c>
      <c r="B34" s="209"/>
      <c r="C34" s="209"/>
      <c r="D34" s="209"/>
      <c r="E34" s="209"/>
      <c r="F34" s="209"/>
    </row>
    <row r="35" spans="1:6" ht="35.25" customHeight="1" x14ac:dyDescent="0.25">
      <c r="A35" s="209" t="s">
        <v>108</v>
      </c>
      <c r="B35" s="209"/>
      <c r="C35" s="209"/>
      <c r="D35" s="209"/>
      <c r="E35" s="209"/>
      <c r="F35" s="209"/>
    </row>
    <row r="36" spans="1:6" ht="35.25" customHeight="1" x14ac:dyDescent="0.25">
      <c r="A36" s="209" t="s">
        <v>196</v>
      </c>
      <c r="B36" s="209"/>
      <c r="C36" s="209"/>
      <c r="D36" s="209"/>
      <c r="E36" s="209"/>
      <c r="F36" s="209"/>
    </row>
    <row r="37" spans="1:6" ht="21.75" customHeight="1" x14ac:dyDescent="0.25">
      <c r="A37" s="209" t="s">
        <v>72</v>
      </c>
      <c r="B37" s="209"/>
      <c r="C37" s="209"/>
      <c r="D37" s="209"/>
      <c r="E37" s="209"/>
      <c r="F37" s="209"/>
    </row>
    <row r="38" spans="1:6" ht="84" customHeight="1" x14ac:dyDescent="0.25">
      <c r="A38" s="209" t="s">
        <v>195</v>
      </c>
      <c r="B38" s="209"/>
      <c r="C38" s="209"/>
      <c r="D38" s="209"/>
      <c r="E38" s="209"/>
      <c r="F38" s="209"/>
    </row>
    <row r="39" spans="1:6" s="67" customFormat="1" ht="65.25" customHeight="1" x14ac:dyDescent="0.25">
      <c r="A39" s="210" t="s">
        <v>113</v>
      </c>
      <c r="B39" s="210"/>
      <c r="C39" s="210"/>
      <c r="D39" s="210"/>
      <c r="E39" s="210"/>
      <c r="F39" s="210"/>
    </row>
    <row r="40" spans="1:6" ht="19.5" customHeight="1" x14ac:dyDescent="0.25">
      <c r="A40" s="209" t="s">
        <v>37</v>
      </c>
      <c r="B40" s="209"/>
      <c r="C40" s="209"/>
      <c r="D40" s="209"/>
      <c r="E40" s="209"/>
      <c r="F40" s="209"/>
    </row>
    <row r="41" spans="1:6" ht="17.25" customHeight="1" x14ac:dyDescent="0.25">
      <c r="A41" s="209" t="s">
        <v>70</v>
      </c>
      <c r="B41" s="209"/>
      <c r="C41" s="209"/>
      <c r="D41" s="209"/>
      <c r="E41" s="209"/>
      <c r="F41" s="209"/>
    </row>
    <row r="42" spans="1:6" ht="87" customHeight="1" x14ac:dyDescent="0.25">
      <c r="A42" s="209" t="s">
        <v>226</v>
      </c>
      <c r="B42" s="209"/>
      <c r="C42" s="209"/>
      <c r="D42" s="209"/>
      <c r="E42" s="209"/>
      <c r="F42" s="209"/>
    </row>
    <row r="43" spans="1:6" ht="19.5" customHeight="1" x14ac:dyDescent="0.25">
      <c r="A43" s="209" t="s">
        <v>72</v>
      </c>
      <c r="B43" s="209"/>
      <c r="C43" s="209"/>
      <c r="D43" s="209"/>
      <c r="E43" s="209"/>
      <c r="F43" s="209"/>
    </row>
    <row r="44" spans="1:6" ht="68.25" customHeight="1" x14ac:dyDescent="0.25">
      <c r="A44" s="209" t="s">
        <v>128</v>
      </c>
      <c r="B44" s="209"/>
      <c r="C44" s="209"/>
      <c r="D44" s="209"/>
      <c r="E44" s="209"/>
      <c r="F44" s="209"/>
    </row>
    <row r="45" spans="1:6" ht="12.75" customHeight="1" x14ac:dyDescent="0.25">
      <c r="A45" s="12"/>
      <c r="B45" s="12"/>
      <c r="C45" s="12"/>
      <c r="D45" s="12"/>
      <c r="E45" s="12"/>
      <c r="F45" s="10" t="s">
        <v>7</v>
      </c>
    </row>
    <row r="46" spans="1:6" s="19" customFormat="1" ht="24" customHeight="1" x14ac:dyDescent="0.2">
      <c r="A46" s="17" t="s">
        <v>1</v>
      </c>
      <c r="B46" s="201" t="s">
        <v>2</v>
      </c>
      <c r="C46" s="201"/>
      <c r="D46" s="17" t="s">
        <v>3</v>
      </c>
      <c r="E46" s="17" t="s">
        <v>4</v>
      </c>
      <c r="F46" s="17" t="s">
        <v>5</v>
      </c>
    </row>
    <row r="47" spans="1:6" s="26" customFormat="1" ht="15" customHeight="1" x14ac:dyDescent="0.25">
      <c r="A47" s="164" t="s">
        <v>30</v>
      </c>
      <c r="B47" s="211" t="s">
        <v>117</v>
      </c>
      <c r="C47" s="212"/>
      <c r="D47" s="33">
        <v>0</v>
      </c>
      <c r="E47" s="34">
        <v>720</v>
      </c>
      <c r="F47" s="35">
        <f t="shared" ref="F47:F60" si="1">SUM(D47:E47)</f>
        <v>720</v>
      </c>
    </row>
    <row r="48" spans="1:6" s="26" customFormat="1" ht="15" customHeight="1" x14ac:dyDescent="0.25">
      <c r="A48" s="187"/>
      <c r="B48" s="211" t="s">
        <v>95</v>
      </c>
      <c r="C48" s="212"/>
      <c r="D48" s="33">
        <v>91.1</v>
      </c>
      <c r="E48" s="34">
        <v>11.1</v>
      </c>
      <c r="F48" s="35">
        <f t="shared" si="1"/>
        <v>102.19999999999999</v>
      </c>
    </row>
    <row r="49" spans="1:8" s="26" customFormat="1" ht="15" customHeight="1" x14ac:dyDescent="0.25">
      <c r="A49" s="164" t="s">
        <v>8</v>
      </c>
      <c r="B49" s="211" t="s">
        <v>118</v>
      </c>
      <c r="C49" s="212"/>
      <c r="D49" s="33">
        <v>0</v>
      </c>
      <c r="E49" s="34">
        <v>815.7</v>
      </c>
      <c r="F49" s="35">
        <f t="shared" si="1"/>
        <v>815.7</v>
      </c>
    </row>
    <row r="50" spans="1:8" s="26" customFormat="1" ht="15" customHeight="1" x14ac:dyDescent="0.25">
      <c r="A50" s="165"/>
      <c r="B50" s="31" t="s">
        <v>69</v>
      </c>
      <c r="C50" s="32"/>
      <c r="D50" s="36">
        <v>873.6</v>
      </c>
      <c r="E50" s="34">
        <v>-816</v>
      </c>
      <c r="F50" s="35">
        <f t="shared" si="1"/>
        <v>57.600000000000023</v>
      </c>
    </row>
    <row r="51" spans="1:8" s="27" customFormat="1" ht="17.25" customHeight="1" x14ac:dyDescent="0.25">
      <c r="A51" s="165"/>
      <c r="B51" s="37" t="s">
        <v>103</v>
      </c>
      <c r="C51" s="38"/>
      <c r="D51" s="36">
        <v>5500</v>
      </c>
      <c r="E51" s="39">
        <v>407</v>
      </c>
      <c r="F51" s="35">
        <f>SUM(D51:E51)</f>
        <v>5907</v>
      </c>
    </row>
    <row r="52" spans="1:8" s="27" customFormat="1" ht="17.25" customHeight="1" x14ac:dyDescent="0.25">
      <c r="A52" s="164" t="s">
        <v>25</v>
      </c>
      <c r="B52" s="37" t="s">
        <v>107</v>
      </c>
      <c r="C52" s="38"/>
      <c r="D52" s="36">
        <v>161.60000000000002</v>
      </c>
      <c r="E52" s="39">
        <v>33.799999999999997</v>
      </c>
      <c r="F52" s="35">
        <f t="shared" si="1"/>
        <v>195.40000000000003</v>
      </c>
    </row>
    <row r="53" spans="1:8" s="27" customFormat="1" ht="17.25" customHeight="1" x14ac:dyDescent="0.25">
      <c r="A53" s="165"/>
      <c r="B53" s="37" t="s">
        <v>96</v>
      </c>
      <c r="C53" s="38"/>
      <c r="D53" s="39">
        <v>36.064360000000001</v>
      </c>
      <c r="E53" s="48">
        <f>0.15382+2.71139</f>
        <v>2.8652100000000003</v>
      </c>
      <c r="F53" s="35">
        <f t="shared" si="1"/>
        <v>38.929569999999998</v>
      </c>
    </row>
    <row r="54" spans="1:8" s="27" customFormat="1" ht="17.25" customHeight="1" x14ac:dyDescent="0.25">
      <c r="A54" s="165"/>
      <c r="B54" s="37" t="s">
        <v>51</v>
      </c>
      <c r="C54" s="38"/>
      <c r="D54" s="39">
        <v>7295.7725899999996</v>
      </c>
      <c r="E54" s="48">
        <f>30.76347+542.27756</f>
        <v>573.04102999999998</v>
      </c>
      <c r="F54" s="35">
        <f t="shared" si="1"/>
        <v>7868.8136199999999</v>
      </c>
    </row>
    <row r="55" spans="1:8" s="27" customFormat="1" ht="17.25" customHeight="1" x14ac:dyDescent="0.25">
      <c r="A55" s="165"/>
      <c r="B55" s="37" t="s">
        <v>102</v>
      </c>
      <c r="C55" s="38"/>
      <c r="D55" s="36">
        <v>11466</v>
      </c>
      <c r="E55" s="39">
        <v>372</v>
      </c>
      <c r="F55" s="35">
        <f t="shared" si="1"/>
        <v>11838</v>
      </c>
    </row>
    <row r="56" spans="1:8" s="27" customFormat="1" ht="17.25" customHeight="1" x14ac:dyDescent="0.25">
      <c r="A56" s="165"/>
      <c r="B56" s="37" t="s">
        <v>127</v>
      </c>
      <c r="C56" s="38"/>
      <c r="D56" s="36">
        <v>4629</v>
      </c>
      <c r="E56" s="39">
        <v>-1200</v>
      </c>
      <c r="F56" s="35">
        <f>SUM(D56:E56)</f>
        <v>3429</v>
      </c>
    </row>
    <row r="57" spans="1:8" s="27" customFormat="1" ht="17.25" customHeight="1" x14ac:dyDescent="0.25">
      <c r="A57" s="165"/>
      <c r="B57" s="37" t="s">
        <v>104</v>
      </c>
      <c r="C57" s="38"/>
      <c r="D57" s="36">
        <v>102613.5</v>
      </c>
      <c r="E57" s="39">
        <v>-7428</v>
      </c>
      <c r="F57" s="35">
        <f>SUM(D57:E57)</f>
        <v>95185.5</v>
      </c>
    </row>
    <row r="58" spans="1:8" s="27" customFormat="1" ht="17.25" customHeight="1" x14ac:dyDescent="0.25">
      <c r="A58" s="165"/>
      <c r="B58" s="37" t="s">
        <v>105</v>
      </c>
      <c r="C58" s="38"/>
      <c r="D58" s="36">
        <v>1459</v>
      </c>
      <c r="E58" s="39">
        <v>-100</v>
      </c>
      <c r="F58" s="35">
        <f>SUM(D58:E58)</f>
        <v>1359</v>
      </c>
    </row>
    <row r="59" spans="1:8" s="27" customFormat="1" ht="17.25" customHeight="1" x14ac:dyDescent="0.25">
      <c r="A59" s="165"/>
      <c r="B59" s="37" t="s">
        <v>106</v>
      </c>
      <c r="C59" s="38"/>
      <c r="D59" s="36">
        <v>52009</v>
      </c>
      <c r="E59" s="39">
        <v>300</v>
      </c>
      <c r="F59" s="35">
        <f>SUM(D59:E59)</f>
        <v>52309</v>
      </c>
    </row>
    <row r="60" spans="1:8" s="27" customFormat="1" ht="17.25" customHeight="1" x14ac:dyDescent="0.25">
      <c r="A60" s="187"/>
      <c r="B60" s="37" t="s">
        <v>114</v>
      </c>
      <c r="C60" s="38"/>
      <c r="D60" s="36">
        <v>1095</v>
      </c>
      <c r="E60" s="39">
        <v>100</v>
      </c>
      <c r="F60" s="35">
        <f t="shared" si="1"/>
        <v>1195</v>
      </c>
    </row>
    <row r="61" spans="1:8" ht="15" customHeight="1" x14ac:dyDescent="0.25">
      <c r="A61" s="7" t="s">
        <v>6</v>
      </c>
      <c r="B61" s="174"/>
      <c r="C61" s="174"/>
      <c r="D61" s="8"/>
      <c r="E61" s="9">
        <f>SUM(E47:E60)</f>
        <v>-6208.4937599999994</v>
      </c>
      <c r="F61" s="8"/>
      <c r="G61" s="5">
        <f>30.91729+779-7428-100+300-816+33.8+11.1+100+720+815.7-1200+544.98895</f>
        <v>-6208.4937599999994</v>
      </c>
      <c r="H61" s="16">
        <f>G61-E61</f>
        <v>0</v>
      </c>
    </row>
    <row r="62" spans="1:8" ht="14.25" customHeight="1" x14ac:dyDescent="0.25">
      <c r="A62" s="2"/>
      <c r="B62" s="3"/>
      <c r="C62" s="3"/>
      <c r="D62" s="4"/>
      <c r="E62" s="1"/>
      <c r="F62" s="4"/>
    </row>
    <row r="63" spans="1:8" ht="22.5" customHeight="1" x14ac:dyDescent="0.25">
      <c r="A63" s="208" t="s">
        <v>29</v>
      </c>
      <c r="B63" s="208"/>
      <c r="C63" s="208"/>
      <c r="D63" s="208"/>
      <c r="E63" s="208"/>
      <c r="F63" s="208"/>
    </row>
    <row r="64" spans="1:8" ht="106.5" customHeight="1" x14ac:dyDescent="0.25">
      <c r="A64" s="206" t="s">
        <v>240</v>
      </c>
      <c r="B64" s="206"/>
      <c r="C64" s="206"/>
      <c r="D64" s="206"/>
      <c r="E64" s="206"/>
      <c r="F64" s="206"/>
    </row>
    <row r="65" spans="1:6" ht="65.25" customHeight="1" x14ac:dyDescent="0.25">
      <c r="A65" s="200" t="s">
        <v>198</v>
      </c>
      <c r="B65" s="206"/>
      <c r="C65" s="206"/>
      <c r="D65" s="206"/>
      <c r="E65" s="206"/>
      <c r="F65" s="206"/>
    </row>
    <row r="66" spans="1:6" ht="36.75" customHeight="1" x14ac:dyDescent="0.25">
      <c r="A66" s="200" t="s">
        <v>121</v>
      </c>
      <c r="B66" s="206"/>
      <c r="C66" s="206"/>
      <c r="D66" s="206"/>
      <c r="E66" s="206"/>
      <c r="F66" s="206"/>
    </row>
    <row r="67" spans="1:6" ht="68.25" customHeight="1" x14ac:dyDescent="0.25">
      <c r="A67" s="200" t="s">
        <v>171</v>
      </c>
      <c r="B67" s="200"/>
      <c r="C67" s="200"/>
      <c r="D67" s="200"/>
      <c r="E67" s="200"/>
      <c r="F67" s="200"/>
    </row>
    <row r="68" spans="1:6" ht="87.75" customHeight="1" x14ac:dyDescent="0.25">
      <c r="A68" s="200" t="s">
        <v>227</v>
      </c>
      <c r="B68" s="200"/>
      <c r="C68" s="200"/>
      <c r="D68" s="200"/>
      <c r="E68" s="200"/>
      <c r="F68" s="200"/>
    </row>
    <row r="69" spans="1:6" ht="20.25" customHeight="1" x14ac:dyDescent="0.25">
      <c r="A69" s="205" t="s">
        <v>32</v>
      </c>
      <c r="B69" s="205"/>
      <c r="C69" s="205"/>
      <c r="D69" s="205"/>
      <c r="E69" s="205"/>
      <c r="F69" s="205"/>
    </row>
    <row r="70" spans="1:6" ht="114" customHeight="1" x14ac:dyDescent="0.25">
      <c r="A70" s="207" t="s">
        <v>201</v>
      </c>
      <c r="B70" s="207"/>
      <c r="C70" s="207"/>
      <c r="D70" s="207"/>
      <c r="E70" s="207"/>
      <c r="F70" s="207"/>
    </row>
    <row r="71" spans="1:6" ht="71.25" customHeight="1" x14ac:dyDescent="0.25">
      <c r="A71" s="207" t="s">
        <v>190</v>
      </c>
      <c r="B71" s="207"/>
      <c r="C71" s="207"/>
      <c r="D71" s="207"/>
      <c r="E71" s="207"/>
      <c r="F71" s="207"/>
    </row>
    <row r="72" spans="1:6" ht="83.25" customHeight="1" x14ac:dyDescent="0.25">
      <c r="A72" s="207" t="s">
        <v>228</v>
      </c>
      <c r="B72" s="207"/>
      <c r="C72" s="207"/>
      <c r="D72" s="207"/>
      <c r="E72" s="207"/>
      <c r="F72" s="207"/>
    </row>
    <row r="73" spans="1:6" ht="38.25" customHeight="1" x14ac:dyDescent="0.25">
      <c r="A73" s="207" t="s">
        <v>191</v>
      </c>
      <c r="B73" s="207"/>
      <c r="C73" s="207"/>
      <c r="D73" s="207"/>
      <c r="E73" s="207"/>
      <c r="F73" s="207"/>
    </row>
    <row r="74" spans="1:6" ht="82.5" customHeight="1" x14ac:dyDescent="0.25">
      <c r="A74" s="207" t="s">
        <v>202</v>
      </c>
      <c r="B74" s="207"/>
      <c r="C74" s="207"/>
      <c r="D74" s="207"/>
      <c r="E74" s="207"/>
      <c r="F74" s="207"/>
    </row>
    <row r="75" spans="1:6" ht="18.75" customHeight="1" x14ac:dyDescent="0.25">
      <c r="A75" s="205" t="s">
        <v>35</v>
      </c>
      <c r="B75" s="205"/>
      <c r="C75" s="205"/>
      <c r="D75" s="205"/>
      <c r="E75" s="205"/>
      <c r="F75" s="205"/>
    </row>
    <row r="76" spans="1:6" ht="20.25" customHeight="1" x14ac:dyDescent="0.25">
      <c r="A76" s="207" t="s">
        <v>80</v>
      </c>
      <c r="B76" s="207"/>
      <c r="C76" s="207"/>
      <c r="D76" s="207"/>
      <c r="E76" s="207"/>
      <c r="F76" s="207"/>
    </row>
    <row r="77" spans="1:6" ht="87" customHeight="1" x14ac:dyDescent="0.25">
      <c r="A77" s="207" t="s">
        <v>186</v>
      </c>
      <c r="B77" s="207"/>
      <c r="C77" s="207"/>
      <c r="D77" s="207"/>
      <c r="E77" s="207"/>
      <c r="F77" s="207"/>
    </row>
    <row r="78" spans="1:6" ht="48" customHeight="1" x14ac:dyDescent="0.25">
      <c r="A78" s="207" t="s">
        <v>203</v>
      </c>
      <c r="B78" s="207"/>
      <c r="C78" s="207"/>
      <c r="D78" s="207"/>
      <c r="E78" s="207"/>
      <c r="F78" s="207"/>
    </row>
    <row r="79" spans="1:6" ht="48.75" customHeight="1" x14ac:dyDescent="0.25">
      <c r="A79" s="207" t="s">
        <v>126</v>
      </c>
      <c r="B79" s="207"/>
      <c r="C79" s="207"/>
      <c r="D79" s="207"/>
      <c r="E79" s="207"/>
      <c r="F79" s="207"/>
    </row>
    <row r="80" spans="1:6" ht="48.75" customHeight="1" x14ac:dyDescent="0.25">
      <c r="A80" s="207" t="s">
        <v>184</v>
      </c>
      <c r="B80" s="207"/>
      <c r="C80" s="207"/>
      <c r="D80" s="207"/>
      <c r="E80" s="207"/>
      <c r="F80" s="207"/>
    </row>
    <row r="81" spans="1:6" ht="48.75" customHeight="1" x14ac:dyDescent="0.25">
      <c r="A81" s="207" t="s">
        <v>204</v>
      </c>
      <c r="B81" s="207"/>
      <c r="C81" s="207"/>
      <c r="D81" s="207"/>
      <c r="E81" s="207"/>
      <c r="F81" s="207"/>
    </row>
    <row r="82" spans="1:6" ht="21" customHeight="1" x14ac:dyDescent="0.2">
      <c r="A82" s="204" t="s">
        <v>199</v>
      </c>
      <c r="B82" s="204"/>
      <c r="C82" s="204"/>
      <c r="D82" s="204"/>
      <c r="E82" s="204"/>
      <c r="F82" s="204"/>
    </row>
    <row r="83" spans="1:6" ht="20.25" customHeight="1" x14ac:dyDescent="0.25">
      <c r="A83" s="207" t="s">
        <v>80</v>
      </c>
      <c r="B83" s="207"/>
      <c r="C83" s="207"/>
      <c r="D83" s="207"/>
      <c r="E83" s="207"/>
      <c r="F83" s="207"/>
    </row>
    <row r="84" spans="1:6" ht="68.25" customHeight="1" x14ac:dyDescent="0.25">
      <c r="A84" s="200" t="s">
        <v>200</v>
      </c>
      <c r="B84" s="200"/>
      <c r="C84" s="200"/>
      <c r="D84" s="200"/>
      <c r="E84" s="200"/>
      <c r="F84" s="200"/>
    </row>
    <row r="85" spans="1:6" ht="24.75" hidden="1" customHeight="1" x14ac:dyDescent="0.25">
      <c r="A85" s="205" t="s">
        <v>85</v>
      </c>
      <c r="B85" s="205"/>
      <c r="C85" s="205"/>
      <c r="D85" s="205"/>
      <c r="E85" s="205"/>
      <c r="F85" s="205"/>
    </row>
    <row r="86" spans="1:6" ht="18" customHeight="1" x14ac:dyDescent="0.25">
      <c r="A86" s="206" t="s">
        <v>31</v>
      </c>
      <c r="B86" s="206"/>
      <c r="C86" s="206"/>
      <c r="D86" s="206"/>
      <c r="E86" s="206"/>
      <c r="F86" s="206"/>
    </row>
    <row r="87" spans="1:6" ht="32.25" customHeight="1" x14ac:dyDescent="0.3">
      <c r="A87" s="203" t="s">
        <v>129</v>
      </c>
      <c r="B87" s="203"/>
      <c r="C87" s="203"/>
      <c r="D87" s="203"/>
      <c r="E87" s="203"/>
      <c r="F87" s="203"/>
    </row>
    <row r="88" spans="1:6" ht="18" customHeight="1" x14ac:dyDescent="0.25">
      <c r="A88" s="47" t="s">
        <v>86</v>
      </c>
      <c r="B88" s="46"/>
      <c r="C88" s="46"/>
      <c r="D88" s="46"/>
      <c r="E88" s="46"/>
      <c r="F88" s="46"/>
    </row>
    <row r="89" spans="1:6" ht="36" customHeight="1" x14ac:dyDescent="0.25">
      <c r="A89" s="200" t="s">
        <v>130</v>
      </c>
      <c r="B89" s="200"/>
      <c r="C89" s="200"/>
      <c r="D89" s="200"/>
      <c r="E89" s="200"/>
      <c r="F89" s="200"/>
    </row>
    <row r="90" spans="1:6" ht="21" customHeight="1" x14ac:dyDescent="0.25">
      <c r="A90" s="200" t="s">
        <v>224</v>
      </c>
      <c r="B90" s="200"/>
      <c r="C90" s="200"/>
      <c r="D90" s="200"/>
      <c r="E90" s="200"/>
      <c r="F90" s="200"/>
    </row>
    <row r="91" spans="1:6" ht="21" customHeight="1" x14ac:dyDescent="0.25">
      <c r="A91" s="200" t="s">
        <v>131</v>
      </c>
      <c r="B91" s="200"/>
      <c r="C91" s="200"/>
      <c r="D91" s="200"/>
      <c r="E91" s="200"/>
      <c r="F91" s="200"/>
    </row>
    <row r="92" spans="1:6" ht="21" customHeight="1" x14ac:dyDescent="0.25">
      <c r="A92" s="200" t="s">
        <v>150</v>
      </c>
      <c r="B92" s="200"/>
      <c r="C92" s="200"/>
      <c r="D92" s="200"/>
      <c r="E92" s="200"/>
      <c r="F92" s="200"/>
    </row>
    <row r="93" spans="1:6" ht="21" customHeight="1" x14ac:dyDescent="0.25">
      <c r="A93" s="200" t="s">
        <v>132</v>
      </c>
      <c r="B93" s="200"/>
      <c r="C93" s="200"/>
      <c r="D93" s="200"/>
      <c r="E93" s="200"/>
      <c r="F93" s="200"/>
    </row>
    <row r="94" spans="1:6" ht="39" customHeight="1" x14ac:dyDescent="0.25">
      <c r="A94" s="200" t="s">
        <v>133</v>
      </c>
      <c r="B94" s="200"/>
      <c r="C94" s="200"/>
      <c r="D94" s="200"/>
      <c r="E94" s="200"/>
      <c r="F94" s="200"/>
    </row>
    <row r="95" spans="1:6" ht="72.75" customHeight="1" x14ac:dyDescent="0.25">
      <c r="A95" s="200" t="s">
        <v>229</v>
      </c>
      <c r="B95" s="200"/>
      <c r="C95" s="200"/>
      <c r="D95" s="200"/>
      <c r="E95" s="200"/>
      <c r="F95" s="200"/>
    </row>
    <row r="96" spans="1:6" ht="18" customHeight="1" x14ac:dyDescent="0.25">
      <c r="A96" s="47" t="s">
        <v>109</v>
      </c>
      <c r="B96" s="46"/>
      <c r="C96" s="46"/>
      <c r="D96" s="46"/>
      <c r="E96" s="46"/>
      <c r="F96" s="46"/>
    </row>
    <row r="97" spans="1:6" ht="21" customHeight="1" x14ac:dyDescent="0.25">
      <c r="A97" s="200" t="s">
        <v>134</v>
      </c>
      <c r="B97" s="200"/>
      <c r="C97" s="200"/>
      <c r="D97" s="200"/>
      <c r="E97" s="200"/>
      <c r="F97" s="200"/>
    </row>
    <row r="98" spans="1:6" ht="21" customHeight="1" x14ac:dyDescent="0.25">
      <c r="A98" s="200" t="s">
        <v>135</v>
      </c>
      <c r="B98" s="200"/>
      <c r="C98" s="200"/>
      <c r="D98" s="200"/>
      <c r="E98" s="200"/>
      <c r="F98" s="200"/>
    </row>
    <row r="99" spans="1:6" ht="18" customHeight="1" x14ac:dyDescent="0.25">
      <c r="A99" s="47" t="s">
        <v>34</v>
      </c>
      <c r="B99" s="46"/>
      <c r="C99" s="46"/>
      <c r="D99" s="46"/>
      <c r="E99" s="46"/>
      <c r="F99" s="46"/>
    </row>
    <row r="100" spans="1:6" ht="21" customHeight="1" x14ac:dyDescent="0.25">
      <c r="A100" s="200" t="s">
        <v>136</v>
      </c>
      <c r="B100" s="200"/>
      <c r="C100" s="200"/>
      <c r="D100" s="200"/>
      <c r="E100" s="200"/>
      <c r="F100" s="200"/>
    </row>
    <row r="101" spans="1:6" ht="18" customHeight="1" x14ac:dyDescent="0.25">
      <c r="A101" s="47" t="s">
        <v>14</v>
      </c>
      <c r="B101" s="46"/>
      <c r="C101" s="46"/>
      <c r="D101" s="46"/>
      <c r="E101" s="46"/>
      <c r="F101" s="46"/>
    </row>
    <row r="102" spans="1:6" ht="21" customHeight="1" x14ac:dyDescent="0.25">
      <c r="A102" s="200" t="s">
        <v>137</v>
      </c>
      <c r="B102" s="200"/>
      <c r="C102" s="200"/>
      <c r="D102" s="200"/>
      <c r="E102" s="200"/>
      <c r="F102" s="200"/>
    </row>
    <row r="103" spans="1:6" ht="21" customHeight="1" x14ac:dyDescent="0.25">
      <c r="A103" s="200" t="s">
        <v>225</v>
      </c>
      <c r="B103" s="200"/>
      <c r="C103" s="200"/>
      <c r="D103" s="200"/>
      <c r="E103" s="200"/>
      <c r="F103" s="200"/>
    </row>
    <row r="104" spans="1:6" ht="18" customHeight="1" x14ac:dyDescent="0.25">
      <c r="A104" s="47" t="s">
        <v>8</v>
      </c>
      <c r="B104" s="46"/>
      <c r="C104" s="46"/>
      <c r="D104" s="46"/>
      <c r="E104" s="46"/>
      <c r="F104" s="46"/>
    </row>
    <row r="105" spans="1:6" ht="21" customHeight="1" x14ac:dyDescent="0.25">
      <c r="A105" s="200" t="s">
        <v>143</v>
      </c>
      <c r="B105" s="200"/>
      <c r="C105" s="200"/>
      <c r="D105" s="200"/>
      <c r="E105" s="200"/>
      <c r="F105" s="200"/>
    </row>
    <row r="106" spans="1:6" ht="18" customHeight="1" x14ac:dyDescent="0.25">
      <c r="A106" s="47" t="s">
        <v>26</v>
      </c>
      <c r="B106" s="46"/>
      <c r="C106" s="46"/>
      <c r="D106" s="46"/>
      <c r="E106" s="46"/>
      <c r="F106" s="46"/>
    </row>
    <row r="107" spans="1:6" ht="21" customHeight="1" x14ac:dyDescent="0.25">
      <c r="A107" s="200" t="s">
        <v>138</v>
      </c>
      <c r="B107" s="200"/>
      <c r="C107" s="200"/>
      <c r="D107" s="200"/>
      <c r="E107" s="200"/>
      <c r="F107" s="200"/>
    </row>
    <row r="108" spans="1:6" ht="32.25" customHeight="1" x14ac:dyDescent="0.25">
      <c r="A108" s="200" t="s">
        <v>141</v>
      </c>
      <c r="B108" s="200"/>
      <c r="C108" s="200"/>
      <c r="D108" s="200"/>
      <c r="E108" s="200"/>
      <c r="F108" s="200"/>
    </row>
    <row r="109" spans="1:6" ht="21" customHeight="1" x14ac:dyDescent="0.25">
      <c r="A109" s="200" t="s">
        <v>139</v>
      </c>
      <c r="B109" s="200"/>
      <c r="C109" s="200"/>
      <c r="D109" s="200"/>
      <c r="E109" s="200"/>
      <c r="F109" s="200"/>
    </row>
    <row r="110" spans="1:6" ht="21" customHeight="1" x14ac:dyDescent="0.25">
      <c r="A110" s="200" t="s">
        <v>140</v>
      </c>
      <c r="B110" s="200"/>
      <c r="C110" s="200"/>
      <c r="D110" s="200"/>
      <c r="E110" s="200"/>
      <c r="F110" s="200"/>
    </row>
    <row r="111" spans="1:6" ht="18" customHeight="1" x14ac:dyDescent="0.3">
      <c r="A111" s="203" t="s">
        <v>87</v>
      </c>
      <c r="B111" s="203"/>
      <c r="C111" s="203"/>
      <c r="D111" s="203"/>
      <c r="E111" s="203"/>
      <c r="F111" s="203"/>
    </row>
    <row r="112" spans="1:6" ht="51" customHeight="1" x14ac:dyDescent="0.25">
      <c r="A112" s="202" t="s">
        <v>174</v>
      </c>
      <c r="B112" s="202"/>
      <c r="C112" s="202"/>
      <c r="D112" s="202"/>
      <c r="E112" s="202"/>
      <c r="F112" s="202"/>
    </row>
    <row r="113" spans="1:14" ht="18" customHeight="1" x14ac:dyDescent="0.3">
      <c r="A113" s="203" t="s">
        <v>81</v>
      </c>
      <c r="B113" s="203"/>
      <c r="C113" s="203"/>
      <c r="D113" s="203"/>
      <c r="E113" s="203"/>
      <c r="F113" s="203"/>
    </row>
    <row r="114" spans="1:14" s="68" customFormat="1" ht="18" customHeight="1" x14ac:dyDescent="0.25">
      <c r="A114" s="202" t="s">
        <v>86</v>
      </c>
      <c r="B114" s="202"/>
      <c r="C114" s="202"/>
      <c r="D114" s="202"/>
      <c r="E114" s="202"/>
      <c r="F114" s="202"/>
    </row>
    <row r="115" spans="1:14" ht="34.5" customHeight="1" x14ac:dyDescent="0.25">
      <c r="A115" s="202" t="s">
        <v>175</v>
      </c>
      <c r="B115" s="202"/>
      <c r="C115" s="202"/>
      <c r="D115" s="202"/>
      <c r="E115" s="202"/>
      <c r="F115" s="202"/>
    </row>
    <row r="116" spans="1:14" ht="18" customHeight="1" x14ac:dyDescent="0.3">
      <c r="A116" s="203" t="s">
        <v>194</v>
      </c>
      <c r="B116" s="203"/>
      <c r="C116" s="203"/>
      <c r="D116" s="203"/>
      <c r="E116" s="203"/>
      <c r="F116" s="203"/>
    </row>
    <row r="117" spans="1:14" s="68" customFormat="1" ht="18" customHeight="1" x14ac:dyDescent="0.25">
      <c r="A117" s="202" t="s">
        <v>230</v>
      </c>
      <c r="B117" s="202"/>
      <c r="C117" s="202"/>
      <c r="D117" s="202"/>
      <c r="E117" s="202"/>
      <c r="F117" s="202"/>
    </row>
    <row r="118" spans="1:14" ht="17.25" customHeight="1" x14ac:dyDescent="0.25">
      <c r="A118" s="202" t="s">
        <v>231</v>
      </c>
      <c r="B118" s="202"/>
      <c r="C118" s="202"/>
      <c r="D118" s="202"/>
      <c r="E118" s="202"/>
      <c r="F118" s="202"/>
    </row>
    <row r="119" spans="1:14" s="11" customFormat="1" ht="14.25" customHeight="1" x14ac:dyDescent="0.2">
      <c r="A119" s="14"/>
      <c r="B119" s="14"/>
      <c r="C119" s="14"/>
      <c r="D119" s="14"/>
      <c r="E119" s="15"/>
      <c r="F119" s="20" t="s">
        <v>21</v>
      </c>
      <c r="M119" s="5"/>
      <c r="N119" s="5"/>
    </row>
    <row r="120" spans="1:14" s="49" customFormat="1" ht="28.5" customHeight="1" x14ac:dyDescent="0.2">
      <c r="A120" s="17" t="s">
        <v>1</v>
      </c>
      <c r="B120" s="201" t="s">
        <v>2</v>
      </c>
      <c r="C120" s="201"/>
      <c r="D120" s="17" t="s">
        <v>3</v>
      </c>
      <c r="E120" s="17" t="s">
        <v>4</v>
      </c>
      <c r="F120" s="17" t="s">
        <v>5</v>
      </c>
      <c r="M120" s="19"/>
      <c r="N120" s="19"/>
    </row>
    <row r="121" spans="1:14" ht="15.75" x14ac:dyDescent="0.25">
      <c r="A121" s="164" t="s">
        <v>30</v>
      </c>
      <c r="B121" s="37" t="s">
        <v>50</v>
      </c>
      <c r="C121" s="38"/>
      <c r="D121" s="36">
        <v>1217</v>
      </c>
      <c r="E121" s="39">
        <f>367.2+100</f>
        <v>467.2</v>
      </c>
      <c r="F121" s="35">
        <f t="shared" ref="F121:F194" si="2">SUM(D121:E121)</f>
        <v>1684.2</v>
      </c>
    </row>
    <row r="122" spans="1:14" ht="15.75" x14ac:dyDescent="0.25">
      <c r="A122" s="165"/>
      <c r="B122" s="37" t="s">
        <v>44</v>
      </c>
      <c r="C122" s="38"/>
      <c r="D122" s="36">
        <v>24010</v>
      </c>
      <c r="E122" s="39">
        <f>100+7079.8</f>
        <v>7179.8</v>
      </c>
      <c r="F122" s="35">
        <f>SUM(D122:E122)</f>
        <v>31189.8</v>
      </c>
    </row>
    <row r="123" spans="1:14" ht="15.75" x14ac:dyDescent="0.25">
      <c r="A123" s="165"/>
      <c r="B123" s="37" t="s">
        <v>45</v>
      </c>
      <c r="C123" s="38"/>
      <c r="D123" s="36">
        <v>13090.6</v>
      </c>
      <c r="E123" s="39">
        <f>-100-26.8-100-197.2</f>
        <v>-424</v>
      </c>
      <c r="F123" s="35">
        <f t="shared" si="2"/>
        <v>12666.6</v>
      </c>
    </row>
    <row r="124" spans="1:14" ht="15.75" x14ac:dyDescent="0.25">
      <c r="A124" s="165"/>
      <c r="B124" s="37" t="s">
        <v>61</v>
      </c>
      <c r="C124" s="38"/>
      <c r="D124" s="36">
        <v>278.7</v>
      </c>
      <c r="E124" s="39">
        <f>26.8+97.2</f>
        <v>124</v>
      </c>
      <c r="F124" s="35">
        <f t="shared" si="2"/>
        <v>402.7</v>
      </c>
    </row>
    <row r="125" spans="1:14" ht="15.75" x14ac:dyDescent="0.25">
      <c r="A125" s="165"/>
      <c r="B125" s="37" t="s">
        <v>82</v>
      </c>
      <c r="C125" s="38"/>
      <c r="D125" s="36">
        <v>2345.6</v>
      </c>
      <c r="E125" s="39">
        <f>313-84.6</f>
        <v>228.4</v>
      </c>
      <c r="F125" s="35">
        <f>SUM(D125:E125)</f>
        <v>2574</v>
      </c>
    </row>
    <row r="126" spans="1:14" ht="15.75" x14ac:dyDescent="0.25">
      <c r="A126" s="165"/>
      <c r="B126" s="37" t="s">
        <v>169</v>
      </c>
      <c r="C126" s="38"/>
      <c r="D126" s="36">
        <v>182.9</v>
      </c>
      <c r="E126" s="39">
        <v>100</v>
      </c>
      <c r="F126" s="35">
        <f>SUM(D126:E126)</f>
        <v>282.89999999999998</v>
      </c>
    </row>
    <row r="127" spans="1:14" ht="15.75" x14ac:dyDescent="0.25">
      <c r="A127" s="165"/>
      <c r="B127" s="37" t="s">
        <v>57</v>
      </c>
      <c r="C127" s="38"/>
      <c r="D127" s="36">
        <v>4447.6000000000004</v>
      </c>
      <c r="E127" s="39">
        <v>219.6</v>
      </c>
      <c r="F127" s="35">
        <f t="shared" si="2"/>
        <v>4667.2000000000007</v>
      </c>
    </row>
    <row r="128" spans="1:14" ht="15.75" x14ac:dyDescent="0.25">
      <c r="A128" s="165"/>
      <c r="B128" s="37" t="s">
        <v>83</v>
      </c>
      <c r="C128" s="38"/>
      <c r="D128" s="36">
        <v>679</v>
      </c>
      <c r="E128" s="39">
        <v>64.5</v>
      </c>
      <c r="F128" s="35">
        <f>SUM(D128:E128)</f>
        <v>743.5</v>
      </c>
    </row>
    <row r="129" spans="1:14" ht="15.75" x14ac:dyDescent="0.25">
      <c r="A129" s="165"/>
      <c r="B129" s="37" t="s">
        <v>151</v>
      </c>
      <c r="C129" s="38"/>
      <c r="D129" s="36">
        <v>5167.7</v>
      </c>
      <c r="E129" s="39">
        <v>1543.8</v>
      </c>
      <c r="F129" s="35">
        <f>SUM(D129:E129)</f>
        <v>6711.5</v>
      </c>
    </row>
    <row r="130" spans="1:14" ht="15.75" x14ac:dyDescent="0.25">
      <c r="A130" s="165"/>
      <c r="B130" s="37" t="s">
        <v>64</v>
      </c>
      <c r="C130" s="38"/>
      <c r="D130" s="36">
        <v>9430.1</v>
      </c>
      <c r="E130" s="39">
        <v>4609.7</v>
      </c>
      <c r="F130" s="35">
        <f>SUM(D130:E130)</f>
        <v>14039.8</v>
      </c>
    </row>
    <row r="131" spans="1:14" ht="15.75" x14ac:dyDescent="0.25">
      <c r="A131" s="165"/>
      <c r="B131" s="37" t="s">
        <v>92</v>
      </c>
      <c r="C131" s="38"/>
      <c r="D131" s="36">
        <v>525.1</v>
      </c>
      <c r="E131" s="39">
        <f>21.5+30</f>
        <v>51.5</v>
      </c>
      <c r="F131" s="35">
        <f t="shared" si="2"/>
        <v>576.6</v>
      </c>
    </row>
    <row r="132" spans="1:14" ht="15.75" x14ac:dyDescent="0.25">
      <c r="A132" s="165"/>
      <c r="B132" s="37" t="s">
        <v>187</v>
      </c>
      <c r="C132" s="38"/>
      <c r="D132" s="36">
        <v>154.5</v>
      </c>
      <c r="E132" s="39">
        <v>-30</v>
      </c>
      <c r="F132" s="35">
        <f t="shared" ref="F132:F137" si="3">SUM(D132:E132)</f>
        <v>124.5</v>
      </c>
    </row>
    <row r="133" spans="1:14" ht="15.75" x14ac:dyDescent="0.25">
      <c r="A133" s="165"/>
      <c r="B133" s="37" t="s">
        <v>188</v>
      </c>
      <c r="C133" s="38"/>
      <c r="D133" s="36">
        <v>52</v>
      </c>
      <c r="E133" s="39">
        <v>-52</v>
      </c>
      <c r="F133" s="35">
        <f t="shared" si="3"/>
        <v>0</v>
      </c>
    </row>
    <row r="134" spans="1:14" ht="15.75" x14ac:dyDescent="0.25">
      <c r="A134" s="165"/>
      <c r="B134" s="37" t="s">
        <v>189</v>
      </c>
      <c r="C134" s="38"/>
      <c r="D134" s="36">
        <v>0</v>
      </c>
      <c r="E134" s="39">
        <v>52</v>
      </c>
      <c r="F134" s="35">
        <f t="shared" si="3"/>
        <v>52</v>
      </c>
    </row>
    <row r="135" spans="1:14" ht="15.75" x14ac:dyDescent="0.25">
      <c r="A135" s="165"/>
      <c r="B135" s="37" t="s">
        <v>149</v>
      </c>
      <c r="C135" s="38"/>
      <c r="D135" s="36">
        <v>2888</v>
      </c>
      <c r="E135" s="39">
        <v>849</v>
      </c>
      <c r="F135" s="35">
        <f t="shared" si="3"/>
        <v>3737</v>
      </c>
    </row>
    <row r="136" spans="1:14" ht="15.75" x14ac:dyDescent="0.25">
      <c r="A136" s="165"/>
      <c r="B136" s="37" t="s">
        <v>98</v>
      </c>
      <c r="C136" s="38"/>
      <c r="D136" s="36">
        <v>21.5</v>
      </c>
      <c r="E136" s="39">
        <v>-21.5</v>
      </c>
      <c r="F136" s="35">
        <f t="shared" si="3"/>
        <v>0</v>
      </c>
    </row>
    <row r="137" spans="1:14" ht="15.75" x14ac:dyDescent="0.25">
      <c r="A137" s="165"/>
      <c r="B137" s="37" t="s">
        <v>173</v>
      </c>
      <c r="C137" s="38"/>
      <c r="D137" s="36">
        <v>1966.3</v>
      </c>
      <c r="E137" s="39">
        <v>-797.6</v>
      </c>
      <c r="F137" s="35">
        <f t="shared" si="3"/>
        <v>1168.6999999999998</v>
      </c>
    </row>
    <row r="138" spans="1:14" s="11" customFormat="1" ht="15.75" x14ac:dyDescent="0.25">
      <c r="A138" s="165"/>
      <c r="B138" s="37" t="s">
        <v>68</v>
      </c>
      <c r="C138" s="38"/>
      <c r="D138" s="36">
        <v>25694.500000000004</v>
      </c>
      <c r="E138" s="39">
        <f>-3000-45</f>
        <v>-3045</v>
      </c>
      <c r="F138" s="35">
        <f t="shared" si="2"/>
        <v>22649.500000000004</v>
      </c>
      <c r="M138" s="5"/>
      <c r="N138" s="5"/>
    </row>
    <row r="139" spans="1:14" s="11" customFormat="1" ht="15.75" x14ac:dyDescent="0.25">
      <c r="A139" s="165"/>
      <c r="B139" s="37" t="s">
        <v>56</v>
      </c>
      <c r="C139" s="38"/>
      <c r="D139" s="36">
        <v>28130.7</v>
      </c>
      <c r="E139" s="39">
        <f>3000+1500</f>
        <v>4500</v>
      </c>
      <c r="F139" s="35">
        <f t="shared" si="2"/>
        <v>32630.7</v>
      </c>
      <c r="M139" s="5"/>
      <c r="N139" s="5"/>
    </row>
    <row r="140" spans="1:14" s="11" customFormat="1" ht="15.75" x14ac:dyDescent="0.25">
      <c r="A140" s="165"/>
      <c r="B140" s="37" t="s">
        <v>172</v>
      </c>
      <c r="C140" s="38"/>
      <c r="D140" s="36">
        <v>0</v>
      </c>
      <c r="E140" s="39">
        <v>45</v>
      </c>
      <c r="F140" s="35">
        <f>SUM(D140:E140)</f>
        <v>45</v>
      </c>
      <c r="M140" s="5"/>
      <c r="N140" s="5"/>
    </row>
    <row r="141" spans="1:14" ht="15.75" x14ac:dyDescent="0.25">
      <c r="A141" s="165"/>
      <c r="B141" s="37" t="s">
        <v>58</v>
      </c>
      <c r="C141" s="38"/>
      <c r="D141" s="36">
        <v>150</v>
      </c>
      <c r="E141" s="39">
        <v>-62.5</v>
      </c>
      <c r="F141" s="35">
        <f t="shared" si="2"/>
        <v>87.5</v>
      </c>
      <c r="M141" s="11"/>
    </row>
    <row r="142" spans="1:14" ht="15.75" x14ac:dyDescent="0.25">
      <c r="A142" s="165"/>
      <c r="B142" s="37" t="s">
        <v>62</v>
      </c>
      <c r="C142" s="38"/>
      <c r="D142" s="36">
        <v>0.30000000000000004</v>
      </c>
      <c r="E142" s="39">
        <v>0.3</v>
      </c>
      <c r="F142" s="35">
        <f t="shared" si="2"/>
        <v>0.60000000000000009</v>
      </c>
      <c r="M142" s="11"/>
    </row>
    <row r="143" spans="1:14" ht="15.75" x14ac:dyDescent="0.25">
      <c r="A143" s="165"/>
      <c r="B143" s="37" t="s">
        <v>63</v>
      </c>
      <c r="C143" s="38"/>
      <c r="D143" s="36">
        <v>54.8</v>
      </c>
      <c r="E143" s="39">
        <v>62.2</v>
      </c>
      <c r="F143" s="35">
        <f>SUM(D143:E143)</f>
        <v>117</v>
      </c>
      <c r="M143" s="11"/>
    </row>
    <row r="144" spans="1:14" ht="15.75" x14ac:dyDescent="0.25">
      <c r="A144" s="197" t="s">
        <v>109</v>
      </c>
      <c r="B144" s="69" t="s">
        <v>110</v>
      </c>
      <c r="C144" s="70"/>
      <c r="D144" s="36">
        <v>1225.4000000000001</v>
      </c>
      <c r="E144" s="39">
        <f>-332.9967-84.9794+27.62326</f>
        <v>-390.35283999999996</v>
      </c>
      <c r="F144" s="35">
        <f t="shared" si="2"/>
        <v>835.04716000000008</v>
      </c>
      <c r="M144" s="11"/>
    </row>
    <row r="145" spans="1:13" ht="15.75" x14ac:dyDescent="0.25">
      <c r="A145" s="197"/>
      <c r="B145" s="69" t="s">
        <v>111</v>
      </c>
      <c r="C145" s="70"/>
      <c r="D145" s="36">
        <v>10</v>
      </c>
      <c r="E145" s="39">
        <v>-1</v>
      </c>
      <c r="F145" s="35">
        <f t="shared" si="2"/>
        <v>9</v>
      </c>
      <c r="M145" s="11"/>
    </row>
    <row r="146" spans="1:13" ht="15.75" x14ac:dyDescent="0.25">
      <c r="A146" s="197"/>
      <c r="B146" s="69" t="s">
        <v>112</v>
      </c>
      <c r="C146" s="70"/>
      <c r="D146" s="36">
        <v>0</v>
      </c>
      <c r="E146" s="39">
        <f>332.9967+84.9794+1-27.62326</f>
        <v>391.35283999999996</v>
      </c>
      <c r="F146" s="35">
        <f t="shared" si="2"/>
        <v>391.35283999999996</v>
      </c>
      <c r="M146" s="11"/>
    </row>
    <row r="147" spans="1:13" ht="15.75" x14ac:dyDescent="0.25">
      <c r="A147" s="197"/>
      <c r="B147" s="69" t="s">
        <v>147</v>
      </c>
      <c r="C147" s="70"/>
      <c r="D147" s="36">
        <v>6150.1</v>
      </c>
      <c r="E147" s="39">
        <v>1301.5</v>
      </c>
      <c r="F147" s="35">
        <f t="shared" si="2"/>
        <v>7451.6</v>
      </c>
      <c r="M147" s="11"/>
    </row>
    <row r="148" spans="1:13" ht="15.75" x14ac:dyDescent="0.25">
      <c r="A148" s="197"/>
      <c r="B148" s="69" t="s">
        <v>148</v>
      </c>
      <c r="C148" s="70"/>
      <c r="D148" s="36">
        <v>717.4</v>
      </c>
      <c r="E148" s="39">
        <v>213.7</v>
      </c>
      <c r="F148" s="35">
        <f t="shared" si="2"/>
        <v>931.09999999999991</v>
      </c>
      <c r="M148" s="11"/>
    </row>
    <row r="149" spans="1:13" ht="15.75" x14ac:dyDescent="0.25">
      <c r="A149" s="197" t="s">
        <v>34</v>
      </c>
      <c r="B149" s="69" t="s">
        <v>122</v>
      </c>
      <c r="C149" s="70"/>
      <c r="D149" s="36">
        <v>1000</v>
      </c>
      <c r="E149" s="39">
        <v>-200</v>
      </c>
      <c r="F149" s="35">
        <f t="shared" si="2"/>
        <v>800</v>
      </c>
      <c r="M149" s="11"/>
    </row>
    <row r="150" spans="1:13" ht="15.75" x14ac:dyDescent="0.25">
      <c r="A150" s="197"/>
      <c r="B150" s="198" t="s">
        <v>123</v>
      </c>
      <c r="C150" s="199"/>
      <c r="D150" s="36">
        <v>500.6</v>
      </c>
      <c r="E150" s="39">
        <v>-400</v>
      </c>
      <c r="F150" s="35">
        <f t="shared" si="2"/>
        <v>100.60000000000002</v>
      </c>
      <c r="M150" s="11"/>
    </row>
    <row r="151" spans="1:13" ht="15.75" x14ac:dyDescent="0.25">
      <c r="A151" s="197"/>
      <c r="B151" s="166" t="s">
        <v>125</v>
      </c>
      <c r="C151" s="167"/>
      <c r="D151" s="36">
        <v>100</v>
      </c>
      <c r="E151" s="39">
        <v>900</v>
      </c>
      <c r="F151" s="35">
        <f t="shared" si="2"/>
        <v>1000</v>
      </c>
      <c r="M151" s="11"/>
    </row>
    <row r="152" spans="1:13" ht="15.75" x14ac:dyDescent="0.25">
      <c r="A152" s="197"/>
      <c r="B152" s="166" t="s">
        <v>152</v>
      </c>
      <c r="C152" s="167"/>
      <c r="D152" s="36">
        <v>5203.1000000000004</v>
      </c>
      <c r="E152" s="39">
        <v>1554.3</v>
      </c>
      <c r="F152" s="35">
        <f>SUM(D152:E152)</f>
        <v>6757.4000000000005</v>
      </c>
      <c r="M152" s="11"/>
    </row>
    <row r="153" spans="1:13" ht="15.75" x14ac:dyDescent="0.25">
      <c r="A153" s="197"/>
      <c r="B153" s="166" t="s">
        <v>192</v>
      </c>
      <c r="C153" s="167"/>
      <c r="D153" s="36">
        <v>650.9</v>
      </c>
      <c r="E153" s="39">
        <v>220</v>
      </c>
      <c r="F153" s="35">
        <f>SUM(D153:E153)</f>
        <v>870.9</v>
      </c>
      <c r="M153" s="11"/>
    </row>
    <row r="154" spans="1:13" ht="15.75" x14ac:dyDescent="0.25">
      <c r="A154" s="197"/>
      <c r="B154" s="166" t="s">
        <v>124</v>
      </c>
      <c r="C154" s="167"/>
      <c r="D154" s="36">
        <v>1000</v>
      </c>
      <c r="E154" s="39">
        <f>-300-220</f>
        <v>-520</v>
      </c>
      <c r="F154" s="35">
        <f t="shared" si="2"/>
        <v>480</v>
      </c>
      <c r="M154" s="11"/>
    </row>
    <row r="155" spans="1:13" s="11" customFormat="1" ht="15.75" x14ac:dyDescent="0.25">
      <c r="A155" s="164" t="s">
        <v>8</v>
      </c>
      <c r="B155" s="37" t="s">
        <v>180</v>
      </c>
      <c r="C155" s="38"/>
      <c r="D155" s="39">
        <v>7844</v>
      </c>
      <c r="E155" s="39">
        <v>374.3</v>
      </c>
      <c r="F155" s="40">
        <f>SUM(D155:E155)</f>
        <v>8218.2999999999993</v>
      </c>
      <c r="M155" s="5"/>
    </row>
    <row r="156" spans="1:13" s="11" customFormat="1" ht="15.75" x14ac:dyDescent="0.25">
      <c r="A156" s="165"/>
      <c r="B156" s="37" t="s">
        <v>119</v>
      </c>
      <c r="C156" s="38"/>
      <c r="D156" s="39">
        <v>7847.2</v>
      </c>
      <c r="E156" s="39">
        <v>-82</v>
      </c>
      <c r="F156" s="40">
        <f t="shared" si="2"/>
        <v>7765.2</v>
      </c>
      <c r="M156" s="5"/>
    </row>
    <row r="157" spans="1:13" s="11" customFormat="1" ht="15.75" x14ac:dyDescent="0.25">
      <c r="A157" s="165"/>
      <c r="B157" s="37" t="s">
        <v>181</v>
      </c>
      <c r="C157" s="38"/>
      <c r="D157" s="39">
        <v>7765.2</v>
      </c>
      <c r="E157" s="39">
        <f>-374.3+30-5</f>
        <v>-349.3</v>
      </c>
      <c r="F157" s="40">
        <f t="shared" si="2"/>
        <v>7415.9</v>
      </c>
      <c r="M157" s="5"/>
    </row>
    <row r="158" spans="1:13" s="11" customFormat="1" ht="15.75" x14ac:dyDescent="0.25">
      <c r="A158" s="165"/>
      <c r="B158" s="37" t="s">
        <v>120</v>
      </c>
      <c r="C158" s="38"/>
      <c r="D158" s="39">
        <v>0</v>
      </c>
      <c r="E158" s="39">
        <v>82</v>
      </c>
      <c r="F158" s="40">
        <f t="shared" si="2"/>
        <v>82</v>
      </c>
      <c r="M158" s="5"/>
    </row>
    <row r="159" spans="1:13" s="11" customFormat="1" ht="15.75" x14ac:dyDescent="0.25">
      <c r="A159" s="165"/>
      <c r="B159" s="37" t="s">
        <v>43</v>
      </c>
      <c r="C159" s="38"/>
      <c r="D159" s="39">
        <v>56365.4</v>
      </c>
      <c r="E159" s="39">
        <f>-310+300+485+20</f>
        <v>495</v>
      </c>
      <c r="F159" s="40">
        <f t="shared" si="2"/>
        <v>56860.4</v>
      </c>
      <c r="M159" s="5"/>
    </row>
    <row r="160" spans="1:13" s="11" customFormat="1" ht="15.75" x14ac:dyDescent="0.25">
      <c r="A160" s="165"/>
      <c r="B160" s="37" t="s">
        <v>185</v>
      </c>
      <c r="C160" s="38"/>
      <c r="D160" s="39">
        <v>97199.6</v>
      </c>
      <c r="E160" s="39">
        <v>-230</v>
      </c>
      <c r="F160" s="40">
        <f t="shared" ref="F160:F170" si="4">SUM(D160:E160)</f>
        <v>96969.600000000006</v>
      </c>
      <c r="M160" s="5"/>
    </row>
    <row r="161" spans="1:13" s="11" customFormat="1" ht="15.75" x14ac:dyDescent="0.25">
      <c r="A161" s="165"/>
      <c r="B161" s="37" t="s">
        <v>178</v>
      </c>
      <c r="C161" s="38"/>
      <c r="D161" s="39">
        <v>10876.8</v>
      </c>
      <c r="E161" s="39">
        <f>250-15</f>
        <v>235</v>
      </c>
      <c r="F161" s="40">
        <f t="shared" si="4"/>
        <v>11111.8</v>
      </c>
      <c r="M161" s="5"/>
    </row>
    <row r="162" spans="1:13" s="11" customFormat="1" ht="15.75" x14ac:dyDescent="0.25">
      <c r="A162" s="165"/>
      <c r="B162" s="37" t="s">
        <v>39</v>
      </c>
      <c r="C162" s="38"/>
      <c r="D162" s="39">
        <v>15547.7</v>
      </c>
      <c r="E162" s="39">
        <v>-80</v>
      </c>
      <c r="F162" s="40">
        <f t="shared" si="4"/>
        <v>15467.7</v>
      </c>
      <c r="M162" s="5"/>
    </row>
    <row r="163" spans="1:13" s="11" customFormat="1" ht="15.75" x14ac:dyDescent="0.25">
      <c r="A163" s="165"/>
      <c r="B163" s="37" t="s">
        <v>183</v>
      </c>
      <c r="C163" s="38"/>
      <c r="D163" s="39">
        <v>2004</v>
      </c>
      <c r="E163" s="39">
        <v>80</v>
      </c>
      <c r="F163" s="40">
        <f t="shared" si="4"/>
        <v>2084</v>
      </c>
      <c r="M163" s="5"/>
    </row>
    <row r="164" spans="1:13" s="11" customFormat="1" ht="15.75" x14ac:dyDescent="0.25">
      <c r="A164" s="165"/>
      <c r="B164" s="37" t="s">
        <v>179</v>
      </c>
      <c r="C164" s="38"/>
      <c r="D164" s="39">
        <v>13462.5</v>
      </c>
      <c r="E164" s="39">
        <f>60-35</f>
        <v>25</v>
      </c>
      <c r="F164" s="40">
        <f t="shared" si="4"/>
        <v>13487.5</v>
      </c>
      <c r="M164" s="5"/>
    </row>
    <row r="165" spans="1:13" s="11" customFormat="1" ht="15.75" x14ac:dyDescent="0.25">
      <c r="A165" s="165"/>
      <c r="B165" s="37" t="s">
        <v>52</v>
      </c>
      <c r="C165" s="38"/>
      <c r="D165" s="39">
        <v>295.89999999999998</v>
      </c>
      <c r="E165" s="39">
        <v>45</v>
      </c>
      <c r="F165" s="35">
        <f t="shared" si="4"/>
        <v>340.9</v>
      </c>
      <c r="M165" s="5"/>
    </row>
    <row r="166" spans="1:13" ht="15.75" x14ac:dyDescent="0.25">
      <c r="A166" s="165"/>
      <c r="B166" s="166" t="s">
        <v>142</v>
      </c>
      <c r="C166" s="167"/>
      <c r="D166" s="36">
        <v>2640.2</v>
      </c>
      <c r="E166" s="39">
        <v>670.6</v>
      </c>
      <c r="F166" s="40">
        <f t="shared" si="4"/>
        <v>3310.7999999999997</v>
      </c>
    </row>
    <row r="167" spans="1:13" ht="15.75" x14ac:dyDescent="0.25">
      <c r="A167" s="165"/>
      <c r="B167" s="166" t="s">
        <v>177</v>
      </c>
      <c r="C167" s="167"/>
      <c r="D167" s="36">
        <v>4080.5</v>
      </c>
      <c r="E167" s="39">
        <v>1</v>
      </c>
      <c r="F167" s="40">
        <f t="shared" si="4"/>
        <v>4081.5</v>
      </c>
    </row>
    <row r="168" spans="1:13" ht="15.75" x14ac:dyDescent="0.25">
      <c r="A168" s="165"/>
      <c r="B168" s="166" t="s">
        <v>176</v>
      </c>
      <c r="C168" s="167"/>
      <c r="D168" s="36">
        <v>397</v>
      </c>
      <c r="E168" s="39">
        <v>-1</v>
      </c>
      <c r="F168" s="40">
        <f t="shared" si="4"/>
        <v>396</v>
      </c>
    </row>
    <row r="169" spans="1:13" ht="15.75" x14ac:dyDescent="0.25">
      <c r="A169" s="187"/>
      <c r="B169" s="166" t="s">
        <v>182</v>
      </c>
      <c r="C169" s="167"/>
      <c r="D169" s="36">
        <v>29401.1</v>
      </c>
      <c r="E169" s="39">
        <f>-300-250</f>
        <v>-550</v>
      </c>
      <c r="F169" s="40">
        <f t="shared" si="4"/>
        <v>28851.1</v>
      </c>
    </row>
    <row r="170" spans="1:13" ht="16.5" customHeight="1" x14ac:dyDescent="0.25">
      <c r="A170" s="197" t="s">
        <v>14</v>
      </c>
      <c r="B170" s="166" t="s">
        <v>54</v>
      </c>
      <c r="C170" s="167"/>
      <c r="D170" s="36">
        <v>16574.900000000001</v>
      </c>
      <c r="E170" s="39">
        <v>-16</v>
      </c>
      <c r="F170" s="35">
        <f t="shared" si="4"/>
        <v>16558.900000000001</v>
      </c>
    </row>
    <row r="171" spans="1:13" ht="15.75" x14ac:dyDescent="0.25">
      <c r="A171" s="197"/>
      <c r="B171" s="166" t="s">
        <v>40</v>
      </c>
      <c r="C171" s="167"/>
      <c r="D171" s="36">
        <v>31658.2</v>
      </c>
      <c r="E171" s="39">
        <f>758.1+15.6+84.6+1675.9</f>
        <v>2534.2000000000003</v>
      </c>
      <c r="F171" s="35">
        <f t="shared" si="2"/>
        <v>34192.400000000001</v>
      </c>
    </row>
    <row r="172" spans="1:13" ht="15.75" x14ac:dyDescent="0.25">
      <c r="A172" s="197"/>
      <c r="B172" s="166" t="s">
        <v>42</v>
      </c>
      <c r="C172" s="167"/>
      <c r="D172" s="36">
        <v>2042.0000000000002</v>
      </c>
      <c r="E172" s="39">
        <f>47.2+2.2+104.5</f>
        <v>153.9</v>
      </c>
      <c r="F172" s="35">
        <f t="shared" si="2"/>
        <v>2195.9</v>
      </c>
    </row>
    <row r="173" spans="1:13" ht="15.75" x14ac:dyDescent="0.25">
      <c r="A173" s="197"/>
      <c r="B173" s="37" t="s">
        <v>53</v>
      </c>
      <c r="C173" s="38"/>
      <c r="D173" s="36">
        <v>10560.5</v>
      </c>
      <c r="E173" s="39">
        <f>269.6-1.8+596</f>
        <v>863.8</v>
      </c>
      <c r="F173" s="35">
        <f t="shared" si="2"/>
        <v>11424.3</v>
      </c>
    </row>
    <row r="174" spans="1:13" ht="15.75" x14ac:dyDescent="0.25">
      <c r="A174" s="197"/>
      <c r="B174" s="166" t="s">
        <v>73</v>
      </c>
      <c r="C174" s="167"/>
      <c r="D174" s="36">
        <v>731.69999999999993</v>
      </c>
      <c r="E174" s="39">
        <v>213.6</v>
      </c>
      <c r="F174" s="35">
        <f t="shared" si="2"/>
        <v>945.3</v>
      </c>
    </row>
    <row r="175" spans="1:13" ht="15.75" x14ac:dyDescent="0.25">
      <c r="A175" s="197"/>
      <c r="B175" s="166" t="s">
        <v>41</v>
      </c>
      <c r="C175" s="167"/>
      <c r="D175" s="36">
        <v>1922.9</v>
      </c>
      <c r="E175" s="39">
        <f>55.6+120.7</f>
        <v>176.3</v>
      </c>
      <c r="F175" s="35">
        <f t="shared" si="2"/>
        <v>2099.2000000000003</v>
      </c>
    </row>
    <row r="176" spans="1:13" ht="15.75" hidden="1" customHeight="1" x14ac:dyDescent="0.25">
      <c r="A176" s="71"/>
      <c r="B176" s="166" t="s">
        <v>74</v>
      </c>
      <c r="C176" s="167"/>
      <c r="D176" s="36">
        <v>0</v>
      </c>
      <c r="E176" s="39"/>
      <c r="F176" s="35">
        <f t="shared" si="2"/>
        <v>0</v>
      </c>
    </row>
    <row r="177" spans="1:6" ht="15.75" x14ac:dyDescent="0.25">
      <c r="A177" s="164" t="s">
        <v>25</v>
      </c>
      <c r="B177" s="166" t="s">
        <v>116</v>
      </c>
      <c r="C177" s="167"/>
      <c r="D177" s="39">
        <v>16</v>
      </c>
      <c r="E177" s="39">
        <v>1.22</v>
      </c>
      <c r="F177" s="35">
        <f t="shared" si="2"/>
        <v>17.22</v>
      </c>
    </row>
    <row r="178" spans="1:6" ht="15.75" x14ac:dyDescent="0.25">
      <c r="A178" s="165"/>
      <c r="B178" s="166" t="s">
        <v>115</v>
      </c>
      <c r="C178" s="167"/>
      <c r="D178" s="39">
        <v>15</v>
      </c>
      <c r="E178" s="39">
        <v>-1.22</v>
      </c>
      <c r="F178" s="35">
        <f t="shared" si="2"/>
        <v>13.78</v>
      </c>
    </row>
    <row r="179" spans="1:6" ht="15.75" x14ac:dyDescent="0.25">
      <c r="A179" s="165"/>
      <c r="B179" s="166" t="s">
        <v>101</v>
      </c>
      <c r="C179" s="167"/>
      <c r="D179" s="39">
        <v>5945.1</v>
      </c>
      <c r="E179" s="39">
        <v>-34.1</v>
      </c>
      <c r="F179" s="35">
        <f t="shared" si="2"/>
        <v>5911</v>
      </c>
    </row>
    <row r="180" spans="1:6" ht="15.75" x14ac:dyDescent="0.25">
      <c r="A180" s="165"/>
      <c r="B180" s="166" t="s">
        <v>100</v>
      </c>
      <c r="C180" s="167"/>
      <c r="D180" s="39">
        <v>222</v>
      </c>
      <c r="E180" s="39">
        <v>34.1</v>
      </c>
      <c r="F180" s="35">
        <f t="shared" si="2"/>
        <v>256.10000000000002</v>
      </c>
    </row>
    <row r="181" spans="1:6" ht="15.75" x14ac:dyDescent="0.25">
      <c r="A181" s="165"/>
      <c r="B181" s="37" t="s">
        <v>59</v>
      </c>
      <c r="C181" s="38"/>
      <c r="D181" s="39">
        <v>439.4</v>
      </c>
      <c r="E181" s="39">
        <v>14.7</v>
      </c>
      <c r="F181" s="35">
        <f t="shared" si="2"/>
        <v>454.09999999999997</v>
      </c>
    </row>
    <row r="182" spans="1:6" ht="15.75" x14ac:dyDescent="0.25">
      <c r="A182" s="187"/>
      <c r="B182" s="37" t="s">
        <v>60</v>
      </c>
      <c r="C182" s="38"/>
      <c r="D182" s="39">
        <v>1055.5</v>
      </c>
      <c r="E182" s="39">
        <v>-14.7</v>
      </c>
      <c r="F182" s="35">
        <f t="shared" si="2"/>
        <v>1040.8</v>
      </c>
    </row>
    <row r="183" spans="1:6" ht="15.75" x14ac:dyDescent="0.25">
      <c r="A183" s="44" t="s">
        <v>36</v>
      </c>
      <c r="B183" s="166" t="s">
        <v>71</v>
      </c>
      <c r="C183" s="167"/>
      <c r="D183" s="36">
        <v>1316.8</v>
      </c>
      <c r="E183" s="39">
        <v>797.6</v>
      </c>
      <c r="F183" s="35">
        <f>SUM(D183:E183)</f>
        <v>2114.4</v>
      </c>
    </row>
    <row r="184" spans="1:6" ht="15.75" x14ac:dyDescent="0.25">
      <c r="A184" s="164" t="s">
        <v>26</v>
      </c>
      <c r="B184" s="166" t="s">
        <v>93</v>
      </c>
      <c r="C184" s="167"/>
      <c r="D184" s="36">
        <v>790.2</v>
      </c>
      <c r="E184" s="39">
        <v>195.8</v>
      </c>
      <c r="F184" s="40">
        <f t="shared" si="2"/>
        <v>986</v>
      </c>
    </row>
    <row r="185" spans="1:6" ht="15.75" x14ac:dyDescent="0.25">
      <c r="A185" s="165"/>
      <c r="B185" s="166" t="s">
        <v>65</v>
      </c>
      <c r="C185" s="167"/>
      <c r="D185" s="36">
        <v>87823.2</v>
      </c>
      <c r="E185" s="39">
        <v>-3000</v>
      </c>
      <c r="F185" s="40">
        <f t="shared" si="2"/>
        <v>84823.2</v>
      </c>
    </row>
    <row r="186" spans="1:6" ht="15.75" x14ac:dyDescent="0.25">
      <c r="A186" s="165"/>
      <c r="B186" s="166" t="s">
        <v>97</v>
      </c>
      <c r="C186" s="167"/>
      <c r="D186" s="36">
        <v>5736</v>
      </c>
      <c r="E186" s="39">
        <v>3000</v>
      </c>
      <c r="F186" s="40">
        <f t="shared" si="2"/>
        <v>8736</v>
      </c>
    </row>
    <row r="187" spans="1:6" ht="15.75" x14ac:dyDescent="0.25">
      <c r="A187" s="165"/>
      <c r="B187" s="37" t="s">
        <v>75</v>
      </c>
      <c r="C187" s="38"/>
      <c r="D187" s="36">
        <v>26090</v>
      </c>
      <c r="E187" s="39">
        <v>43000</v>
      </c>
      <c r="F187" s="40">
        <f t="shared" si="2"/>
        <v>69090</v>
      </c>
    </row>
    <row r="188" spans="1:6" ht="15.75" x14ac:dyDescent="0.25">
      <c r="A188" s="165"/>
      <c r="B188" s="37" t="s">
        <v>55</v>
      </c>
      <c r="C188" s="38"/>
      <c r="D188" s="36">
        <v>118474.4</v>
      </c>
      <c r="E188" s="39">
        <v>-43000</v>
      </c>
      <c r="F188" s="40">
        <f t="shared" si="2"/>
        <v>75474.399999999994</v>
      </c>
    </row>
    <row r="189" spans="1:6" ht="15.75" x14ac:dyDescent="0.25">
      <c r="A189" s="165"/>
      <c r="B189" s="37" t="s">
        <v>94</v>
      </c>
      <c r="C189" s="38"/>
      <c r="D189" s="36">
        <v>1064.3</v>
      </c>
      <c r="E189" s="39">
        <v>-1.1000000000000001</v>
      </c>
      <c r="F189" s="40">
        <f t="shared" si="2"/>
        <v>1063.2</v>
      </c>
    </row>
    <row r="190" spans="1:6" ht="15.75" x14ac:dyDescent="0.25">
      <c r="A190" s="165"/>
      <c r="B190" s="37" t="s">
        <v>99</v>
      </c>
      <c r="C190" s="38"/>
      <c r="D190" s="36">
        <v>82.3</v>
      </c>
      <c r="E190" s="39">
        <v>1.1000000000000001</v>
      </c>
      <c r="F190" s="40">
        <f t="shared" si="2"/>
        <v>83.399999999999991</v>
      </c>
    </row>
    <row r="191" spans="1:6" ht="15.75" x14ac:dyDescent="0.25">
      <c r="A191" s="165"/>
      <c r="B191" s="166" t="s">
        <v>145</v>
      </c>
      <c r="C191" s="167"/>
      <c r="D191" s="36">
        <v>3115.8</v>
      </c>
      <c r="E191" s="39">
        <v>930.4</v>
      </c>
      <c r="F191" s="40">
        <f t="shared" si="2"/>
        <v>4046.2000000000003</v>
      </c>
    </row>
    <row r="192" spans="1:6" ht="15.75" x14ac:dyDescent="0.25">
      <c r="A192" s="165"/>
      <c r="B192" s="166" t="s">
        <v>99</v>
      </c>
      <c r="C192" s="167"/>
      <c r="D192" s="36">
        <v>150.4</v>
      </c>
      <c r="E192" s="39">
        <v>83.4</v>
      </c>
      <c r="F192" s="40">
        <f t="shared" si="2"/>
        <v>233.8</v>
      </c>
    </row>
    <row r="193" spans="1:13" ht="15.75" x14ac:dyDescent="0.25">
      <c r="A193" s="165"/>
      <c r="B193" s="166" t="s">
        <v>144</v>
      </c>
      <c r="C193" s="167"/>
      <c r="D193" s="36">
        <v>4663.7</v>
      </c>
      <c r="E193" s="39">
        <v>1393.2</v>
      </c>
      <c r="F193" s="40">
        <f t="shared" si="2"/>
        <v>6056.9</v>
      </c>
    </row>
    <row r="194" spans="1:13" ht="15.75" x14ac:dyDescent="0.25">
      <c r="A194" s="165"/>
      <c r="B194" s="166" t="s">
        <v>146</v>
      </c>
      <c r="C194" s="167"/>
      <c r="D194" s="36">
        <v>9188.4</v>
      </c>
      <c r="E194" s="39">
        <v>2190.4</v>
      </c>
      <c r="F194" s="40">
        <f t="shared" si="2"/>
        <v>11378.8</v>
      </c>
    </row>
    <row r="195" spans="1:13" ht="15.75" x14ac:dyDescent="0.25">
      <c r="A195" s="7" t="s">
        <v>6</v>
      </c>
      <c r="B195" s="174"/>
      <c r="C195" s="174"/>
      <c r="D195" s="8" t="s">
        <v>20</v>
      </c>
      <c r="E195" s="9">
        <f>SUM(E121:E194)</f>
        <v>28966.100000000002</v>
      </c>
      <c r="F195" s="8"/>
      <c r="G195" s="5">
        <f>24924+45+1500+2497.1</f>
        <v>28966.1</v>
      </c>
      <c r="H195" s="59">
        <f>G195-E195</f>
        <v>0</v>
      </c>
      <c r="I195" s="5">
        <f>24924-83.4-2190.4-1589-930.4-670.6-1301.5-213.7-7447-313-849-1543.8-4609.7-219.6-64.5-1554.3-213.6-1130.5</f>
        <v>-3.4106051316484809E-12</v>
      </c>
      <c r="J195" s="16">
        <f>I195-H195</f>
        <v>-3.4106051316484809E-12</v>
      </c>
    </row>
    <row r="196" spans="1:13" ht="7.5" customHeight="1" x14ac:dyDescent="0.25">
      <c r="A196" s="2"/>
      <c r="B196" s="3"/>
      <c r="C196" s="3"/>
      <c r="D196" s="4"/>
      <c r="E196" s="1"/>
      <c r="F196" s="4"/>
    </row>
    <row r="197" spans="1:13" s="61" customFormat="1" ht="96.75" customHeight="1" x14ac:dyDescent="0.25">
      <c r="A197" s="188" t="s">
        <v>241</v>
      </c>
      <c r="B197" s="188"/>
      <c r="C197" s="188"/>
      <c r="D197" s="188"/>
      <c r="E197" s="188"/>
      <c r="F197" s="188"/>
    </row>
    <row r="198" spans="1:13" ht="16.5" customHeight="1" x14ac:dyDescent="0.25">
      <c r="A198" s="188" t="s">
        <v>232</v>
      </c>
      <c r="B198" s="188"/>
      <c r="C198" s="188"/>
      <c r="D198" s="188"/>
      <c r="E198" s="188"/>
      <c r="F198" s="188"/>
      <c r="G198" s="45"/>
      <c r="H198" s="45"/>
      <c r="I198" s="45"/>
      <c r="J198" s="45"/>
      <c r="K198" s="45"/>
      <c r="L198" s="45"/>
      <c r="M198" s="45"/>
    </row>
    <row r="199" spans="1:13" s="58" customFormat="1" ht="11.25" x14ac:dyDescent="0.2">
      <c r="A199" s="56"/>
      <c r="B199" s="56"/>
      <c r="C199" s="56"/>
      <c r="D199" s="56"/>
      <c r="E199" s="56"/>
      <c r="F199" s="57" t="s">
        <v>7</v>
      </c>
    </row>
    <row r="200" spans="1:13" ht="15.75" customHeight="1" x14ac:dyDescent="0.25">
      <c r="A200" s="195" t="s">
        <v>10</v>
      </c>
      <c r="B200" s="196"/>
      <c r="C200" s="163" t="s">
        <v>11</v>
      </c>
      <c r="D200" s="163"/>
      <c r="E200" s="163"/>
      <c r="F200" s="163"/>
    </row>
    <row r="201" spans="1:13" ht="17.25" customHeight="1" x14ac:dyDescent="0.25">
      <c r="A201" s="41" t="s">
        <v>12</v>
      </c>
      <c r="B201" s="72">
        <v>33.5</v>
      </c>
      <c r="C201" s="175" t="s">
        <v>27</v>
      </c>
      <c r="D201" s="176"/>
      <c r="E201" s="177"/>
      <c r="F201" s="192">
        <f>E61</f>
        <v>-6208.4937599999994</v>
      </c>
      <c r="M201" s="43"/>
    </row>
    <row r="202" spans="1:13" ht="15.75" customHeight="1" x14ac:dyDescent="0.2">
      <c r="A202" s="42" t="s">
        <v>13</v>
      </c>
      <c r="B202" s="72">
        <f>-7537.9+30.91729+544.98895</f>
        <v>-6961.9937599999994</v>
      </c>
      <c r="C202" s="178"/>
      <c r="D202" s="179"/>
      <c r="E202" s="180"/>
      <c r="F202" s="193"/>
    </row>
    <row r="203" spans="1:13" ht="16.5" customHeight="1" x14ac:dyDescent="0.25">
      <c r="A203" s="41" t="s">
        <v>28</v>
      </c>
      <c r="B203" s="72">
        <v>720</v>
      </c>
      <c r="C203" s="181"/>
      <c r="D203" s="182"/>
      <c r="E203" s="183"/>
      <c r="F203" s="194"/>
      <c r="G203" s="5">
        <f>-48.5-182.6+30.6-370.6-1713.1+150+1563.1+8173+48.5</f>
        <v>7650.4</v>
      </c>
      <c r="H203" s="16">
        <f>G203-E195</f>
        <v>-21315.700000000004</v>
      </c>
    </row>
    <row r="204" spans="1:13" ht="16.5" customHeight="1" x14ac:dyDescent="0.2">
      <c r="A204" s="184" t="s">
        <v>153</v>
      </c>
      <c r="B204" s="192">
        <v>24924</v>
      </c>
      <c r="C204" s="171" t="s">
        <v>154</v>
      </c>
      <c r="D204" s="172"/>
      <c r="E204" s="173"/>
      <c r="F204" s="74">
        <v>7447</v>
      </c>
      <c r="H204" s="16"/>
    </row>
    <row r="205" spans="1:13" ht="16.5" customHeight="1" x14ac:dyDescent="0.2">
      <c r="A205" s="185"/>
      <c r="B205" s="193"/>
      <c r="C205" s="171" t="s">
        <v>168</v>
      </c>
      <c r="D205" s="172"/>
      <c r="E205" s="173"/>
      <c r="F205" s="74">
        <f>313-84.6</f>
        <v>228.4</v>
      </c>
      <c r="H205" s="16"/>
    </row>
    <row r="206" spans="1:13" ht="16.5" customHeight="1" x14ac:dyDescent="0.2">
      <c r="A206" s="185"/>
      <c r="B206" s="193"/>
      <c r="C206" s="171" t="s">
        <v>155</v>
      </c>
      <c r="D206" s="172"/>
      <c r="E206" s="173"/>
      <c r="F206" s="74">
        <v>849</v>
      </c>
      <c r="H206" s="16"/>
    </row>
    <row r="207" spans="1:13" ht="16.5" customHeight="1" x14ac:dyDescent="0.2">
      <c r="A207" s="185"/>
      <c r="B207" s="193"/>
      <c r="C207" s="171" t="s">
        <v>156</v>
      </c>
      <c r="D207" s="172"/>
      <c r="E207" s="173"/>
      <c r="F207" s="74">
        <v>1543.8</v>
      </c>
      <c r="H207" s="16"/>
    </row>
    <row r="208" spans="1:13" ht="16.5" customHeight="1" x14ac:dyDescent="0.2">
      <c r="A208" s="185"/>
      <c r="B208" s="193"/>
      <c r="C208" s="171" t="s">
        <v>161</v>
      </c>
      <c r="D208" s="172"/>
      <c r="E208" s="173"/>
      <c r="F208" s="74">
        <v>1554.3</v>
      </c>
      <c r="H208" s="16"/>
    </row>
    <row r="209" spans="1:13" ht="16.5" customHeight="1" x14ac:dyDescent="0.2">
      <c r="A209" s="185"/>
      <c r="B209" s="193"/>
      <c r="C209" s="171" t="s">
        <v>157</v>
      </c>
      <c r="D209" s="172"/>
      <c r="E209" s="173"/>
      <c r="F209" s="74">
        <v>213.7</v>
      </c>
      <c r="H209" s="16"/>
    </row>
    <row r="210" spans="1:13" ht="16.5" customHeight="1" x14ac:dyDescent="0.2">
      <c r="A210" s="185"/>
      <c r="B210" s="193"/>
      <c r="C210" s="171" t="s">
        <v>158</v>
      </c>
      <c r="D210" s="172"/>
      <c r="E210" s="173"/>
      <c r="F210" s="74">
        <v>1301.5</v>
      </c>
      <c r="H210" s="16"/>
    </row>
    <row r="211" spans="1:13" ht="33" customHeight="1" x14ac:dyDescent="0.2">
      <c r="A211" s="185"/>
      <c r="B211" s="193"/>
      <c r="C211" s="171" t="s">
        <v>159</v>
      </c>
      <c r="D211" s="172"/>
      <c r="E211" s="173"/>
      <c r="F211" s="74">
        <v>213.6</v>
      </c>
      <c r="H211" s="16"/>
    </row>
    <row r="212" spans="1:13" ht="14.25" customHeight="1" x14ac:dyDescent="0.2">
      <c r="A212" s="185"/>
      <c r="B212" s="193"/>
      <c r="C212" s="171" t="s">
        <v>160</v>
      </c>
      <c r="D212" s="172"/>
      <c r="E212" s="173"/>
      <c r="F212" s="74">
        <f>1130.5+84.6</f>
        <v>1215.0999999999999</v>
      </c>
      <c r="H212" s="16"/>
    </row>
    <row r="213" spans="1:13" ht="33" customHeight="1" x14ac:dyDescent="0.2">
      <c r="A213" s="185"/>
      <c r="B213" s="193"/>
      <c r="C213" s="171" t="s">
        <v>162</v>
      </c>
      <c r="D213" s="172"/>
      <c r="E213" s="173"/>
      <c r="F213" s="74">
        <v>670.6</v>
      </c>
      <c r="H213" s="16"/>
    </row>
    <row r="214" spans="1:13" ht="16.5" customHeight="1" x14ac:dyDescent="0.2">
      <c r="A214" s="185"/>
      <c r="B214" s="193"/>
      <c r="C214" s="171" t="s">
        <v>163</v>
      </c>
      <c r="D214" s="172"/>
      <c r="E214" s="173"/>
      <c r="F214" s="74">
        <v>930.4</v>
      </c>
      <c r="H214" s="16"/>
    </row>
    <row r="215" spans="1:13" ht="16.5" customHeight="1" x14ac:dyDescent="0.2">
      <c r="A215" s="185"/>
      <c r="B215" s="193"/>
      <c r="C215" s="171" t="s">
        <v>164</v>
      </c>
      <c r="D215" s="172"/>
      <c r="E215" s="173"/>
      <c r="F215" s="74">
        <v>1589</v>
      </c>
      <c r="H215" s="16"/>
    </row>
    <row r="216" spans="1:13" ht="16.5" customHeight="1" x14ac:dyDescent="0.2">
      <c r="A216" s="185"/>
      <c r="B216" s="193"/>
      <c r="C216" s="171" t="s">
        <v>163</v>
      </c>
      <c r="D216" s="172"/>
      <c r="E216" s="173"/>
      <c r="F216" s="74">
        <v>2190.4</v>
      </c>
      <c r="H216" s="16"/>
    </row>
    <row r="217" spans="1:13" ht="16.5" customHeight="1" x14ac:dyDescent="0.2">
      <c r="A217" s="185"/>
      <c r="B217" s="193"/>
      <c r="C217" s="171" t="s">
        <v>165</v>
      </c>
      <c r="D217" s="172"/>
      <c r="E217" s="173"/>
      <c r="F217" s="74">
        <v>4609.7</v>
      </c>
      <c r="H217" s="16"/>
    </row>
    <row r="218" spans="1:13" ht="16.5" customHeight="1" x14ac:dyDescent="0.2">
      <c r="A218" s="185"/>
      <c r="B218" s="193"/>
      <c r="C218" s="189" t="s">
        <v>88</v>
      </c>
      <c r="D218" s="190"/>
      <c r="E218" s="191"/>
      <c r="F218" s="74">
        <v>64.5</v>
      </c>
      <c r="H218" s="16"/>
    </row>
    <row r="219" spans="1:13" ht="16.5" customHeight="1" x14ac:dyDescent="0.2">
      <c r="A219" s="185"/>
      <c r="B219" s="193"/>
      <c r="C219" s="171" t="s">
        <v>166</v>
      </c>
      <c r="D219" s="172"/>
      <c r="E219" s="173"/>
      <c r="F219" s="74">
        <v>219.6</v>
      </c>
      <c r="H219" s="16"/>
    </row>
    <row r="220" spans="1:13" ht="16.5" customHeight="1" x14ac:dyDescent="0.2">
      <c r="A220" s="186"/>
      <c r="B220" s="194"/>
      <c r="C220" s="171" t="s">
        <v>167</v>
      </c>
      <c r="D220" s="172"/>
      <c r="E220" s="173"/>
      <c r="F220" s="74">
        <v>83.4</v>
      </c>
      <c r="H220" s="16"/>
    </row>
    <row r="221" spans="1:13" ht="48" customHeight="1" x14ac:dyDescent="0.2">
      <c r="A221" s="60" t="s">
        <v>84</v>
      </c>
      <c r="B221" s="73">
        <v>65</v>
      </c>
      <c r="C221" s="171" t="s">
        <v>170</v>
      </c>
      <c r="D221" s="172"/>
      <c r="E221" s="173"/>
      <c r="F221" s="72">
        <v>45</v>
      </c>
    </row>
    <row r="222" spans="1:13" ht="16.5" customHeight="1" x14ac:dyDescent="0.2">
      <c r="A222" s="60" t="s">
        <v>22</v>
      </c>
      <c r="B222" s="73">
        <v>1500</v>
      </c>
      <c r="C222" s="171" t="s">
        <v>89</v>
      </c>
      <c r="D222" s="172"/>
      <c r="E222" s="173"/>
      <c r="F222" s="75">
        <v>1500</v>
      </c>
    </row>
    <row r="223" spans="1:13" ht="30.75" customHeight="1" x14ac:dyDescent="0.2">
      <c r="A223" s="76" t="s">
        <v>193</v>
      </c>
      <c r="B223" s="72">
        <v>2497.1</v>
      </c>
      <c r="C223" s="171" t="s">
        <v>160</v>
      </c>
      <c r="D223" s="172"/>
      <c r="E223" s="173"/>
      <c r="F223" s="72">
        <v>2497.1</v>
      </c>
    </row>
    <row r="224" spans="1:13" ht="15" x14ac:dyDescent="0.25">
      <c r="A224" s="18" t="s">
        <v>9</v>
      </c>
      <c r="B224" s="77">
        <f>SUM(B201:B222)</f>
        <v>20280.506240000002</v>
      </c>
      <c r="C224" s="168" t="s">
        <v>9</v>
      </c>
      <c r="D224" s="168"/>
      <c r="E224" s="168"/>
      <c r="F224" s="78">
        <f>SUM(F201:F222)</f>
        <v>20260.506239999999</v>
      </c>
      <c r="M224" s="43">
        <f>B224-F224</f>
        <v>20.000000000003638</v>
      </c>
    </row>
    <row r="225" spans="1:12" ht="0.75" customHeight="1" x14ac:dyDescent="0.25">
      <c r="A225" s="13"/>
      <c r="B225" s="21"/>
      <c r="C225" s="13"/>
      <c r="D225" s="13"/>
      <c r="E225" s="13"/>
      <c r="F225" s="24">
        <f>F224-B224</f>
        <v>-20.000000000003638</v>
      </c>
    </row>
    <row r="226" spans="1:12" ht="18" customHeight="1" x14ac:dyDescent="0.25">
      <c r="A226" s="169" t="s">
        <v>66</v>
      </c>
      <c r="B226" s="169"/>
      <c r="C226" s="169"/>
      <c r="D226" s="169"/>
      <c r="E226" s="170" t="s">
        <v>67</v>
      </c>
      <c r="F226" s="170"/>
    </row>
    <row r="227" spans="1:12" ht="1.5" customHeight="1" x14ac:dyDescent="0.25">
      <c r="A227" s="2"/>
      <c r="B227" s="3"/>
      <c r="C227" s="3"/>
      <c r="D227" s="4"/>
      <c r="E227" s="1"/>
      <c r="F227" s="4"/>
    </row>
    <row r="228" spans="1:12" ht="15.75" customHeight="1" x14ac:dyDescent="0.2">
      <c r="B228" s="16"/>
    </row>
    <row r="229" spans="1:12" ht="17.25" customHeight="1" x14ac:dyDescent="0.2"/>
    <row r="230" spans="1:12" ht="14.25" customHeight="1" x14ac:dyDescent="0.2">
      <c r="G230" s="16"/>
      <c r="H230" s="16"/>
      <c r="J230" s="16"/>
      <c r="L230" s="16"/>
    </row>
    <row r="231" spans="1:12" ht="14.25" customHeight="1" x14ac:dyDescent="0.2">
      <c r="G231" s="16"/>
      <c r="H231" s="16"/>
      <c r="J231" s="16"/>
      <c r="L231" s="16"/>
    </row>
  </sheetData>
  <mergeCells count="152">
    <mergeCell ref="A29:F29"/>
    <mergeCell ref="A34:F34"/>
    <mergeCell ref="A35:F35"/>
    <mergeCell ref="A36:F36"/>
    <mergeCell ref="A30:F30"/>
    <mergeCell ref="A31:F31"/>
    <mergeCell ref="A32:F32"/>
    <mergeCell ref="A33:F33"/>
    <mergeCell ref="A1:F1"/>
    <mergeCell ref="A2:F2"/>
    <mergeCell ref="A3:F3"/>
    <mergeCell ref="A4:F4"/>
    <mergeCell ref="A5:F5"/>
    <mergeCell ref="A6:F6"/>
    <mergeCell ref="A7:F7"/>
    <mergeCell ref="A8:F8"/>
    <mergeCell ref="A28:F28"/>
    <mergeCell ref="A9:F9"/>
    <mergeCell ref="A27:F27"/>
    <mergeCell ref="A37:F37"/>
    <mergeCell ref="A38:F38"/>
    <mergeCell ref="A39:F39"/>
    <mergeCell ref="A40:F40"/>
    <mergeCell ref="A41:F41"/>
    <mergeCell ref="A42:F42"/>
    <mergeCell ref="B48:C48"/>
    <mergeCell ref="A49:A51"/>
    <mergeCell ref="B49:C49"/>
    <mergeCell ref="A43:F43"/>
    <mergeCell ref="A44:F44"/>
    <mergeCell ref="B46:C46"/>
    <mergeCell ref="B47:C47"/>
    <mergeCell ref="A47:A48"/>
    <mergeCell ref="A52:A60"/>
    <mergeCell ref="B61:C61"/>
    <mergeCell ref="A63:F63"/>
    <mergeCell ref="A64:F64"/>
    <mergeCell ref="A65:F65"/>
    <mergeCell ref="A66:F66"/>
    <mergeCell ref="A71:F71"/>
    <mergeCell ref="A72:F72"/>
    <mergeCell ref="A75:F75"/>
    <mergeCell ref="A67:F67"/>
    <mergeCell ref="A68:F68"/>
    <mergeCell ref="A69:F69"/>
    <mergeCell ref="A70:F70"/>
    <mergeCell ref="A73:F73"/>
    <mergeCell ref="A74:F74"/>
    <mergeCell ref="A84:F84"/>
    <mergeCell ref="A82:F82"/>
    <mergeCell ref="A85:F85"/>
    <mergeCell ref="A86:F86"/>
    <mergeCell ref="A76:F76"/>
    <mergeCell ref="A77:F77"/>
    <mergeCell ref="A79:F79"/>
    <mergeCell ref="A78:F78"/>
    <mergeCell ref="A81:F81"/>
    <mergeCell ref="A80:F80"/>
    <mergeCell ref="A83:F83"/>
    <mergeCell ref="A116:F116"/>
    <mergeCell ref="A118:F118"/>
    <mergeCell ref="A114:F114"/>
    <mergeCell ref="A87:F87"/>
    <mergeCell ref="A89:F89"/>
    <mergeCell ref="A90:F90"/>
    <mergeCell ref="A91:F91"/>
    <mergeCell ref="A92:F92"/>
    <mergeCell ref="A93:F93"/>
    <mergeCell ref="A94:F94"/>
    <mergeCell ref="A95:F95"/>
    <mergeCell ref="A97:F97"/>
    <mergeCell ref="B176:C176"/>
    <mergeCell ref="B153:C153"/>
    <mergeCell ref="B166:C166"/>
    <mergeCell ref="B167:C167"/>
    <mergeCell ref="B191:C191"/>
    <mergeCell ref="B192:C192"/>
    <mergeCell ref="B177:C177"/>
    <mergeCell ref="B178:C178"/>
    <mergeCell ref="A98:F98"/>
    <mergeCell ref="A100:F100"/>
    <mergeCell ref="A102:F102"/>
    <mergeCell ref="B120:C120"/>
    <mergeCell ref="A121:A143"/>
    <mergeCell ref="A103:F103"/>
    <mergeCell ref="A105:F105"/>
    <mergeCell ref="A107:F107"/>
    <mergeCell ref="A108:F108"/>
    <mergeCell ref="A109:F109"/>
    <mergeCell ref="A110:F110"/>
    <mergeCell ref="A115:F115"/>
    <mergeCell ref="A111:F111"/>
    <mergeCell ref="A113:F113"/>
    <mergeCell ref="A117:F117"/>
    <mergeCell ref="A112:F112"/>
    <mergeCell ref="A170:A175"/>
    <mergeCell ref="A144:A148"/>
    <mergeCell ref="A149:A154"/>
    <mergeCell ref="B150:C150"/>
    <mergeCell ref="B151:C151"/>
    <mergeCell ref="B152:C152"/>
    <mergeCell ref="B154:C154"/>
    <mergeCell ref="B171:C171"/>
    <mergeCell ref="B172:C172"/>
    <mergeCell ref="B174:C174"/>
    <mergeCell ref="B175:C175"/>
    <mergeCell ref="B169:C169"/>
    <mergeCell ref="B170:C170"/>
    <mergeCell ref="B179:C179"/>
    <mergeCell ref="B180:C180"/>
    <mergeCell ref="B183:C183"/>
    <mergeCell ref="B186:C186"/>
    <mergeCell ref="C201:E203"/>
    <mergeCell ref="A204:A220"/>
    <mergeCell ref="A155:A169"/>
    <mergeCell ref="B168:C168"/>
    <mergeCell ref="A197:F197"/>
    <mergeCell ref="C216:E216"/>
    <mergeCell ref="C217:E217"/>
    <mergeCell ref="C218:E218"/>
    <mergeCell ref="B204:B220"/>
    <mergeCell ref="C204:E204"/>
    <mergeCell ref="C205:E205"/>
    <mergeCell ref="C206:E206"/>
    <mergeCell ref="C207:E207"/>
    <mergeCell ref="C208:E208"/>
    <mergeCell ref="C209:E209"/>
    <mergeCell ref="A177:A182"/>
    <mergeCell ref="B193:C193"/>
    <mergeCell ref="F201:F203"/>
    <mergeCell ref="A198:F198"/>
    <mergeCell ref="A200:B200"/>
    <mergeCell ref="C200:F200"/>
    <mergeCell ref="A184:A194"/>
    <mergeCell ref="B184:C184"/>
    <mergeCell ref="C224:E224"/>
    <mergeCell ref="A226:D226"/>
    <mergeCell ref="E226:F226"/>
    <mergeCell ref="C210:E210"/>
    <mergeCell ref="C211:E211"/>
    <mergeCell ref="C212:E212"/>
    <mergeCell ref="C213:E213"/>
    <mergeCell ref="C214:E214"/>
    <mergeCell ref="C222:E222"/>
    <mergeCell ref="C221:E221"/>
    <mergeCell ref="C223:E223"/>
    <mergeCell ref="C219:E219"/>
    <mergeCell ref="C220:E220"/>
    <mergeCell ref="C215:E215"/>
    <mergeCell ref="B194:C194"/>
    <mergeCell ref="B195:C195"/>
    <mergeCell ref="B185:C185"/>
  </mergeCells>
  <pageMargins left="0.47244094488188981" right="0" top="0.6" bottom="0.17" header="0.15748031496062992" footer="0.11811023622047245"/>
  <pageSetup paperSize="9" scale="86" fitToHeight="14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0"/>
  <sheetViews>
    <sheetView tabSelected="1" topLeftCell="A216" zoomScaleNormal="100" zoomScaleSheetLayoutView="50" workbookViewId="0">
      <selection activeCell="H229" sqref="H229"/>
    </sheetView>
  </sheetViews>
  <sheetFormatPr defaultColWidth="9.140625" defaultRowHeight="18" x14ac:dyDescent="0.25"/>
  <cols>
    <col min="1" max="1" width="44" style="79" customWidth="1"/>
    <col min="2" max="2" width="14.7109375" style="79" customWidth="1"/>
    <col min="3" max="3" width="16.42578125" style="79" customWidth="1"/>
    <col min="4" max="4" width="15.7109375" style="79" customWidth="1"/>
    <col min="5" max="5" width="16.85546875" style="79" customWidth="1"/>
    <col min="6" max="6" width="22.28515625" style="79" customWidth="1"/>
    <col min="7" max="7" width="16.140625" style="79" customWidth="1"/>
    <col min="8" max="8" width="15.42578125" style="152" customWidth="1"/>
    <col min="9" max="9" width="3.5703125" style="79" customWidth="1"/>
    <col min="10" max="10" width="9.140625" style="79"/>
    <col min="11" max="11" width="11.7109375" style="79" customWidth="1"/>
    <col min="12" max="12" width="12.140625" style="79" customWidth="1"/>
    <col min="13" max="16384" width="9.140625" style="79"/>
  </cols>
  <sheetData>
    <row r="1" spans="1:8" ht="19.5" customHeight="1" x14ac:dyDescent="0.3">
      <c r="A1" s="236" t="s">
        <v>0</v>
      </c>
      <c r="B1" s="236"/>
      <c r="C1" s="236"/>
      <c r="D1" s="236"/>
      <c r="E1" s="236"/>
      <c r="F1" s="236"/>
    </row>
    <row r="2" spans="1:8" ht="66.75" customHeight="1" x14ac:dyDescent="0.25">
      <c r="A2" s="237" t="s">
        <v>247</v>
      </c>
      <c r="B2" s="237"/>
      <c r="C2" s="237"/>
      <c r="D2" s="237"/>
      <c r="E2" s="237"/>
      <c r="F2" s="237"/>
      <c r="H2" s="155" t="s">
        <v>403</v>
      </c>
    </row>
    <row r="3" spans="1:8" ht="18.75" x14ac:dyDescent="0.25">
      <c r="A3" s="238" t="s">
        <v>248</v>
      </c>
      <c r="B3" s="238"/>
      <c r="C3" s="238"/>
      <c r="D3" s="238"/>
      <c r="E3" s="238"/>
      <c r="F3" s="238"/>
    </row>
    <row r="4" spans="1:8" ht="18.75" hidden="1" x14ac:dyDescent="0.25">
      <c r="A4" s="238"/>
      <c r="B4" s="238"/>
      <c r="C4" s="238"/>
      <c r="D4" s="238"/>
      <c r="E4" s="238"/>
      <c r="F4" s="238"/>
    </row>
    <row r="5" spans="1:8" ht="46.5" customHeight="1" x14ac:dyDescent="0.25">
      <c r="A5" s="238" t="s">
        <v>389</v>
      </c>
      <c r="B5" s="238"/>
      <c r="C5" s="238"/>
      <c r="D5" s="238"/>
      <c r="E5" s="238"/>
      <c r="F5" s="238"/>
    </row>
    <row r="6" spans="1:8" ht="15.75" customHeight="1" x14ac:dyDescent="0.3">
      <c r="A6" s="239" t="s">
        <v>293</v>
      </c>
      <c r="B6" s="239"/>
      <c r="C6" s="239"/>
      <c r="D6" s="92"/>
      <c r="E6" s="92"/>
      <c r="F6" s="92"/>
      <c r="H6" s="154">
        <f>100879</f>
        <v>100879</v>
      </c>
    </row>
    <row r="7" spans="1:8" ht="18.75" customHeight="1" x14ac:dyDescent="0.3">
      <c r="A7" s="239" t="s">
        <v>289</v>
      </c>
      <c r="B7" s="239"/>
      <c r="C7" s="239"/>
      <c r="D7" s="239"/>
      <c r="E7" s="92"/>
      <c r="F7" s="92"/>
      <c r="H7" s="154">
        <v>81</v>
      </c>
    </row>
    <row r="8" spans="1:8" ht="18" customHeight="1" x14ac:dyDescent="0.3">
      <c r="A8" s="239" t="s">
        <v>294</v>
      </c>
      <c r="B8" s="239"/>
      <c r="C8" s="239"/>
      <c r="D8" s="92"/>
      <c r="E8" s="92"/>
      <c r="F8" s="92"/>
      <c r="H8" s="154">
        <v>13900.2</v>
      </c>
    </row>
    <row r="9" spans="1:8" ht="21.75" hidden="1" customHeight="1" x14ac:dyDescent="0.3">
      <c r="A9" s="240" t="s">
        <v>292</v>
      </c>
      <c r="B9" s="240"/>
      <c r="C9" s="240"/>
      <c r="D9" s="240"/>
      <c r="E9" s="240"/>
      <c r="F9" s="92"/>
    </row>
    <row r="10" spans="1:8" ht="21.75" hidden="1" customHeight="1" x14ac:dyDescent="0.25">
      <c r="A10" s="238" t="s">
        <v>257</v>
      </c>
      <c r="B10" s="238"/>
      <c r="C10" s="238"/>
      <c r="D10" s="238"/>
      <c r="E10" s="238"/>
      <c r="F10" s="238"/>
    </row>
    <row r="11" spans="1:8" ht="18.75" hidden="1" customHeight="1" x14ac:dyDescent="0.3">
      <c r="A11" s="239" t="s">
        <v>290</v>
      </c>
      <c r="B11" s="239"/>
      <c r="C11" s="239"/>
      <c r="D11" s="92"/>
      <c r="E11" s="106"/>
      <c r="F11" s="92"/>
    </row>
    <row r="12" spans="1:8" ht="21.75" hidden="1" customHeight="1" x14ac:dyDescent="0.25">
      <c r="A12" s="238" t="s">
        <v>258</v>
      </c>
      <c r="B12" s="238"/>
      <c r="C12" s="238"/>
      <c r="D12" s="238"/>
      <c r="E12" s="238"/>
      <c r="F12" s="238"/>
    </row>
    <row r="13" spans="1:8" ht="21.75" hidden="1" customHeight="1" x14ac:dyDescent="0.3">
      <c r="A13" s="240" t="s">
        <v>291</v>
      </c>
      <c r="B13" s="240"/>
      <c r="C13" s="240"/>
      <c r="D13" s="92"/>
      <c r="E13" s="106"/>
      <c r="F13" s="92"/>
    </row>
    <row r="14" spans="1:8" ht="10.5" customHeight="1" x14ac:dyDescent="0.3">
      <c r="A14" s="137"/>
      <c r="B14" s="137"/>
      <c r="C14" s="137"/>
      <c r="D14" s="94"/>
      <c r="E14" s="92"/>
      <c r="F14" s="92"/>
    </row>
    <row r="15" spans="1:8" ht="18.75" customHeight="1" x14ac:dyDescent="0.25">
      <c r="A15" s="241" t="s">
        <v>249</v>
      </c>
      <c r="B15" s="241"/>
      <c r="C15" s="241"/>
      <c r="D15" s="241"/>
      <c r="E15" s="241"/>
      <c r="F15" s="241"/>
    </row>
    <row r="16" spans="1:8" ht="57.75" customHeight="1" x14ac:dyDescent="0.25">
      <c r="A16" s="138" t="s">
        <v>15</v>
      </c>
      <c r="B16" s="139" t="s">
        <v>250</v>
      </c>
      <c r="C16" s="140" t="s">
        <v>252</v>
      </c>
      <c r="D16" s="139" t="s">
        <v>16</v>
      </c>
      <c r="E16" s="139" t="s">
        <v>17</v>
      </c>
      <c r="F16" s="141" t="s">
        <v>18</v>
      </c>
    </row>
    <row r="17" spans="1:8" ht="57.75" customHeight="1" x14ac:dyDescent="0.25">
      <c r="A17" s="142" t="s">
        <v>383</v>
      </c>
      <c r="B17" s="139">
        <v>14102</v>
      </c>
      <c r="C17" s="140">
        <v>11953.2</v>
      </c>
      <c r="D17" s="139">
        <v>15602</v>
      </c>
      <c r="E17" s="139">
        <f>D17-B17</f>
        <v>1500</v>
      </c>
      <c r="F17" s="141" t="s">
        <v>295</v>
      </c>
    </row>
    <row r="18" spans="1:8" ht="45" x14ac:dyDescent="0.25">
      <c r="A18" s="138" t="s">
        <v>251</v>
      </c>
      <c r="B18" s="139">
        <v>42338</v>
      </c>
      <c r="C18" s="140">
        <v>24867</v>
      </c>
      <c r="D18" s="139">
        <v>40798</v>
      </c>
      <c r="E18" s="139">
        <f t="shared" ref="E18:E21" si="0">D18-B18</f>
        <v>-1540</v>
      </c>
      <c r="F18" s="141" t="s">
        <v>296</v>
      </c>
    </row>
    <row r="19" spans="1:8" ht="75" x14ac:dyDescent="0.25">
      <c r="A19" s="138" t="s">
        <v>253</v>
      </c>
      <c r="B19" s="139">
        <v>303</v>
      </c>
      <c r="C19" s="140">
        <v>370.2</v>
      </c>
      <c r="D19" s="139">
        <v>373</v>
      </c>
      <c r="E19" s="139">
        <f t="shared" si="0"/>
        <v>70</v>
      </c>
      <c r="F19" s="141" t="s">
        <v>388</v>
      </c>
    </row>
    <row r="20" spans="1:8" ht="150" x14ac:dyDescent="0.25">
      <c r="A20" s="138" t="s">
        <v>384</v>
      </c>
      <c r="B20" s="139">
        <v>42198</v>
      </c>
      <c r="C20" s="140">
        <v>22603.8</v>
      </c>
      <c r="D20" s="139">
        <v>42138</v>
      </c>
      <c r="E20" s="139">
        <f t="shared" si="0"/>
        <v>-60</v>
      </c>
      <c r="F20" s="141" t="s">
        <v>386</v>
      </c>
    </row>
    <row r="21" spans="1:8" ht="44.25" customHeight="1" x14ac:dyDescent="0.25">
      <c r="A21" s="138" t="s">
        <v>385</v>
      </c>
      <c r="B21" s="139">
        <v>4718.7</v>
      </c>
      <c r="C21" s="140">
        <v>19231.8</v>
      </c>
      <c r="D21" s="139">
        <v>4778.7</v>
      </c>
      <c r="E21" s="139">
        <f t="shared" si="0"/>
        <v>60</v>
      </c>
      <c r="F21" s="141" t="s">
        <v>387</v>
      </c>
    </row>
    <row r="22" spans="1:8" ht="18.75" x14ac:dyDescent="0.25">
      <c r="A22" s="143" t="s">
        <v>254</v>
      </c>
      <c r="B22" s="139"/>
      <c r="C22" s="140"/>
      <c r="D22" s="139"/>
      <c r="E22" s="144">
        <v>0</v>
      </c>
      <c r="F22" s="141"/>
    </row>
    <row r="23" spans="1:8" ht="23.25" customHeight="1" x14ac:dyDescent="0.3">
      <c r="A23" s="95"/>
      <c r="B23" s="96"/>
      <c r="C23" s="96"/>
      <c r="D23" s="96"/>
      <c r="E23" s="96"/>
      <c r="F23" s="97"/>
    </row>
    <row r="24" spans="1:8" ht="27.75" customHeight="1" x14ac:dyDescent="0.25">
      <c r="A24" s="242" t="s">
        <v>426</v>
      </c>
      <c r="B24" s="242"/>
      <c r="C24" s="242"/>
      <c r="D24" s="242"/>
      <c r="E24" s="242"/>
      <c r="F24" s="242"/>
    </row>
    <row r="25" spans="1:8" ht="17.25" customHeight="1" x14ac:dyDescent="0.25">
      <c r="A25" s="246" t="s">
        <v>418</v>
      </c>
      <c r="B25" s="246"/>
      <c r="C25" s="246"/>
      <c r="D25" s="246"/>
      <c r="E25" s="151"/>
      <c r="F25" s="151"/>
      <c r="H25" s="156">
        <f>10338.8+772+9140.9</f>
        <v>20251.699999999997</v>
      </c>
    </row>
    <row r="26" spans="1:8" ht="17.25" customHeight="1" x14ac:dyDescent="0.25">
      <c r="A26" s="246" t="s">
        <v>405</v>
      </c>
      <c r="B26" s="246"/>
      <c r="C26" s="246"/>
      <c r="D26" s="246"/>
      <c r="E26" s="151"/>
      <c r="F26" s="151"/>
    </row>
    <row r="27" spans="1:8" ht="20.25" customHeight="1" x14ac:dyDescent="0.25">
      <c r="A27" s="246" t="s">
        <v>404</v>
      </c>
      <c r="B27" s="246"/>
      <c r="C27" s="246"/>
      <c r="D27" s="246"/>
      <c r="E27" s="151"/>
      <c r="F27" s="151"/>
    </row>
    <row r="28" spans="1:8" ht="22.5" customHeight="1" x14ac:dyDescent="0.3">
      <c r="A28" s="243" t="s">
        <v>419</v>
      </c>
      <c r="B28" s="243"/>
      <c r="C28" s="243"/>
      <c r="D28" s="243"/>
      <c r="F28" s="93"/>
    </row>
    <row r="29" spans="1:8" ht="18.75" x14ac:dyDescent="0.25">
      <c r="A29" s="245" t="s">
        <v>378</v>
      </c>
      <c r="B29" s="245"/>
      <c r="C29" s="245"/>
      <c r="D29" s="245"/>
      <c r="E29" s="245"/>
      <c r="F29" s="245"/>
    </row>
    <row r="30" spans="1:8" ht="18.75" x14ac:dyDescent="0.25">
      <c r="A30" s="245" t="s">
        <v>379</v>
      </c>
      <c r="B30" s="245"/>
      <c r="C30" s="245"/>
      <c r="D30" s="245"/>
      <c r="E30" s="245"/>
      <c r="F30" s="245"/>
    </row>
    <row r="31" spans="1:8" ht="17.25" customHeight="1" x14ac:dyDescent="0.3">
      <c r="A31" s="244" t="s">
        <v>245</v>
      </c>
      <c r="B31" s="244"/>
      <c r="C31" s="244"/>
      <c r="D31" s="244"/>
      <c r="E31" s="244"/>
      <c r="F31" s="244"/>
    </row>
    <row r="32" spans="1:8" ht="41.25" customHeight="1" x14ac:dyDescent="0.3">
      <c r="A32" s="231" t="s">
        <v>322</v>
      </c>
      <c r="B32" s="231"/>
      <c r="C32" s="231"/>
      <c r="D32" s="231"/>
      <c r="E32" s="231"/>
      <c r="F32" s="231"/>
    </row>
    <row r="33" spans="1:6" ht="21" customHeight="1" x14ac:dyDescent="0.3">
      <c r="A33" s="234" t="s">
        <v>31</v>
      </c>
      <c r="B33" s="234"/>
      <c r="C33" s="234"/>
      <c r="D33" s="234"/>
      <c r="E33" s="234"/>
      <c r="F33" s="234"/>
    </row>
    <row r="34" spans="1:6" ht="17.25" customHeight="1" x14ac:dyDescent="0.3">
      <c r="A34" s="232" t="s">
        <v>70</v>
      </c>
      <c r="B34" s="231"/>
      <c r="C34" s="231"/>
      <c r="D34" s="231"/>
      <c r="E34" s="231"/>
      <c r="F34" s="231"/>
    </row>
    <row r="35" spans="1:6" ht="36" customHeight="1" x14ac:dyDescent="0.3">
      <c r="A35" s="231" t="s">
        <v>370</v>
      </c>
      <c r="B35" s="231"/>
      <c r="C35" s="231"/>
      <c r="D35" s="231"/>
      <c r="E35" s="231"/>
      <c r="F35" s="231"/>
    </row>
    <row r="36" spans="1:6" ht="76.5" customHeight="1" x14ac:dyDescent="0.3">
      <c r="A36" s="231" t="s">
        <v>371</v>
      </c>
      <c r="B36" s="231"/>
      <c r="C36" s="231"/>
      <c r="D36" s="231"/>
      <c r="E36" s="231"/>
      <c r="F36" s="231"/>
    </row>
    <row r="37" spans="1:6" ht="57.75" customHeight="1" x14ac:dyDescent="0.3">
      <c r="A37" s="231" t="s">
        <v>372</v>
      </c>
      <c r="B37" s="231"/>
      <c r="C37" s="231"/>
      <c r="D37" s="231"/>
      <c r="E37" s="231"/>
      <c r="F37" s="231"/>
    </row>
    <row r="38" spans="1:6" ht="37.5" customHeight="1" x14ac:dyDescent="0.3">
      <c r="A38" s="231" t="s">
        <v>381</v>
      </c>
      <c r="B38" s="231"/>
      <c r="C38" s="231"/>
      <c r="D38" s="231"/>
      <c r="E38" s="231"/>
      <c r="F38" s="231"/>
    </row>
    <row r="39" spans="1:6" ht="83.25" customHeight="1" x14ac:dyDescent="0.3">
      <c r="A39" s="231" t="s">
        <v>373</v>
      </c>
      <c r="B39" s="231"/>
      <c r="C39" s="231"/>
      <c r="D39" s="231"/>
      <c r="E39" s="231"/>
      <c r="F39" s="231"/>
    </row>
    <row r="40" spans="1:6" ht="22.5" customHeight="1" x14ac:dyDescent="0.3">
      <c r="A40" s="231" t="s">
        <v>321</v>
      </c>
      <c r="B40" s="231"/>
      <c r="C40" s="231"/>
      <c r="D40" s="231"/>
      <c r="E40" s="231"/>
      <c r="F40" s="231"/>
    </row>
    <row r="41" spans="1:6" ht="57" customHeight="1" x14ac:dyDescent="0.3">
      <c r="A41" s="231" t="s">
        <v>306</v>
      </c>
      <c r="B41" s="231"/>
      <c r="C41" s="231"/>
      <c r="D41" s="231"/>
      <c r="E41" s="231"/>
      <c r="F41" s="231"/>
    </row>
    <row r="42" spans="1:6" ht="22.5" customHeight="1" x14ac:dyDescent="0.3">
      <c r="A42" s="231" t="s">
        <v>307</v>
      </c>
      <c r="B42" s="231"/>
      <c r="C42" s="231"/>
      <c r="D42" s="231"/>
      <c r="E42" s="231"/>
      <c r="F42" s="231"/>
    </row>
    <row r="43" spans="1:6" ht="21" customHeight="1" x14ac:dyDescent="0.3">
      <c r="A43" s="231" t="s">
        <v>264</v>
      </c>
      <c r="B43" s="231"/>
      <c r="C43" s="231"/>
      <c r="D43" s="231"/>
      <c r="E43" s="231"/>
      <c r="F43" s="231"/>
    </row>
    <row r="44" spans="1:6" ht="58.5" customHeight="1" x14ac:dyDescent="0.3">
      <c r="A44" s="231" t="s">
        <v>374</v>
      </c>
      <c r="B44" s="231"/>
      <c r="C44" s="231"/>
      <c r="D44" s="231"/>
      <c r="E44" s="231"/>
      <c r="F44" s="231"/>
    </row>
    <row r="45" spans="1:6" ht="52.5" customHeight="1" x14ac:dyDescent="0.3">
      <c r="A45" s="231" t="s">
        <v>375</v>
      </c>
      <c r="B45" s="231"/>
      <c r="C45" s="231"/>
      <c r="D45" s="231"/>
      <c r="E45" s="231"/>
      <c r="F45" s="231"/>
    </row>
    <row r="46" spans="1:6" ht="70.5" customHeight="1" x14ac:dyDescent="0.3">
      <c r="A46" s="231" t="s">
        <v>308</v>
      </c>
      <c r="B46" s="231"/>
      <c r="C46" s="231"/>
      <c r="D46" s="231"/>
      <c r="E46" s="231"/>
      <c r="F46" s="231"/>
    </row>
    <row r="47" spans="1:6" ht="22.5" customHeight="1" x14ac:dyDescent="0.3">
      <c r="A47" s="231" t="s">
        <v>309</v>
      </c>
      <c r="B47" s="231"/>
      <c r="C47" s="231"/>
      <c r="D47" s="231"/>
      <c r="E47" s="231"/>
      <c r="F47" s="231"/>
    </row>
    <row r="48" spans="1:6" ht="37.5" customHeight="1" x14ac:dyDescent="0.3">
      <c r="A48" s="231" t="s">
        <v>310</v>
      </c>
      <c r="B48" s="231"/>
      <c r="C48" s="231"/>
      <c r="D48" s="231"/>
      <c r="E48" s="231"/>
      <c r="F48" s="231"/>
    </row>
    <row r="49" spans="1:6" ht="36" customHeight="1" x14ac:dyDescent="0.3">
      <c r="A49" s="231" t="s">
        <v>311</v>
      </c>
      <c r="B49" s="231"/>
      <c r="C49" s="231"/>
      <c r="D49" s="231"/>
      <c r="E49" s="231"/>
      <c r="F49" s="231"/>
    </row>
    <row r="50" spans="1:6" ht="38.25" customHeight="1" x14ac:dyDescent="0.3">
      <c r="A50" s="231" t="s">
        <v>312</v>
      </c>
      <c r="B50" s="231"/>
      <c r="C50" s="231"/>
      <c r="D50" s="231"/>
      <c r="E50" s="231"/>
      <c r="F50" s="231"/>
    </row>
    <row r="51" spans="1:6" ht="38.25" customHeight="1" x14ac:dyDescent="0.3">
      <c r="A51" s="231" t="s">
        <v>363</v>
      </c>
      <c r="B51" s="231"/>
      <c r="C51" s="231"/>
      <c r="D51" s="231"/>
      <c r="E51" s="231"/>
      <c r="F51" s="231"/>
    </row>
    <row r="52" spans="1:6" ht="41.25" customHeight="1" x14ac:dyDescent="0.3">
      <c r="A52" s="231" t="s">
        <v>427</v>
      </c>
      <c r="B52" s="231"/>
      <c r="C52" s="231"/>
      <c r="D52" s="231"/>
      <c r="E52" s="231"/>
      <c r="F52" s="231"/>
    </row>
    <row r="53" spans="1:6" ht="21" customHeight="1" x14ac:dyDescent="0.3">
      <c r="A53" s="130" t="s">
        <v>361</v>
      </c>
      <c r="B53" s="129"/>
      <c r="C53" s="129"/>
      <c r="D53" s="129"/>
      <c r="E53" s="129"/>
      <c r="F53" s="129"/>
    </row>
    <row r="54" spans="1:6" ht="45" customHeight="1" x14ac:dyDescent="0.3">
      <c r="A54" s="231" t="s">
        <v>401</v>
      </c>
      <c r="B54" s="231"/>
      <c r="C54" s="231"/>
      <c r="D54" s="231"/>
      <c r="E54" s="231"/>
      <c r="F54" s="231"/>
    </row>
    <row r="55" spans="1:6" ht="24.75" customHeight="1" x14ac:dyDescent="0.3">
      <c r="A55" s="130" t="s">
        <v>326</v>
      </c>
      <c r="B55" s="129"/>
      <c r="C55" s="129"/>
      <c r="D55" s="129"/>
      <c r="E55" s="129"/>
      <c r="F55" s="129"/>
    </row>
    <row r="56" spans="1:6" ht="39" customHeight="1" x14ac:dyDescent="0.3">
      <c r="A56" s="231" t="s">
        <v>376</v>
      </c>
      <c r="B56" s="231"/>
      <c r="C56" s="231"/>
      <c r="D56" s="231"/>
      <c r="E56" s="231"/>
      <c r="F56" s="231"/>
    </row>
    <row r="57" spans="1:6" ht="40.5" customHeight="1" x14ac:dyDescent="0.3">
      <c r="A57" s="232" t="s">
        <v>402</v>
      </c>
      <c r="B57" s="231"/>
      <c r="C57" s="231"/>
      <c r="D57" s="231"/>
      <c r="E57" s="231"/>
      <c r="F57" s="231"/>
    </row>
    <row r="58" spans="1:6" ht="23.25" customHeight="1" x14ac:dyDescent="0.3">
      <c r="A58" s="130" t="s">
        <v>339</v>
      </c>
      <c r="B58" s="129"/>
      <c r="C58" s="129"/>
      <c r="D58" s="129"/>
      <c r="E58" s="129"/>
      <c r="F58" s="129"/>
    </row>
    <row r="59" spans="1:6" ht="20.25" customHeight="1" x14ac:dyDescent="0.3">
      <c r="A59" s="129" t="s">
        <v>340</v>
      </c>
      <c r="B59" s="129"/>
      <c r="C59" s="129"/>
      <c r="D59" s="129"/>
      <c r="E59" s="129"/>
      <c r="F59" s="129"/>
    </row>
    <row r="60" spans="1:6" ht="20.25" customHeight="1" x14ac:dyDescent="0.3">
      <c r="A60" s="129" t="s">
        <v>341</v>
      </c>
      <c r="B60" s="129"/>
      <c r="C60" s="129"/>
      <c r="D60" s="129"/>
      <c r="E60" s="129"/>
      <c r="F60" s="129"/>
    </row>
    <row r="61" spans="1:6" ht="20.25" customHeight="1" x14ac:dyDescent="0.3">
      <c r="A61" s="129" t="s">
        <v>342</v>
      </c>
      <c r="B61" s="129"/>
      <c r="C61" s="129"/>
      <c r="D61" s="129"/>
      <c r="E61" s="129"/>
      <c r="F61" s="129"/>
    </row>
    <row r="62" spans="1:6" ht="20.25" customHeight="1" x14ac:dyDescent="0.3">
      <c r="A62" s="129" t="s">
        <v>343</v>
      </c>
      <c r="B62" s="129"/>
      <c r="C62" s="129"/>
      <c r="D62" s="129"/>
      <c r="E62" s="129"/>
      <c r="F62" s="129"/>
    </row>
    <row r="63" spans="1:6" ht="21.75" customHeight="1" x14ac:dyDescent="0.3">
      <c r="A63" s="130" t="s">
        <v>344</v>
      </c>
      <c r="B63" s="129"/>
      <c r="C63" s="129"/>
      <c r="D63" s="129"/>
      <c r="E63" s="129"/>
      <c r="F63" s="129"/>
    </row>
    <row r="64" spans="1:6" ht="21.75" customHeight="1" x14ac:dyDescent="0.3">
      <c r="A64" s="231" t="s">
        <v>377</v>
      </c>
      <c r="B64" s="231"/>
      <c r="C64" s="231"/>
      <c r="D64" s="231"/>
      <c r="E64" s="231"/>
      <c r="F64" s="231"/>
    </row>
    <row r="65" spans="1:8" s="112" customFormat="1" ht="22.5" hidden="1" customHeight="1" x14ac:dyDescent="0.3">
      <c r="A65" s="231"/>
      <c r="B65" s="231"/>
      <c r="C65" s="231"/>
      <c r="D65" s="231"/>
      <c r="E65" s="231"/>
      <c r="F65" s="231"/>
      <c r="G65" s="79"/>
      <c r="H65" s="152"/>
    </row>
    <row r="66" spans="1:8" ht="24.75" customHeight="1" x14ac:dyDescent="0.3">
      <c r="A66" s="232" t="s">
        <v>320</v>
      </c>
      <c r="B66" s="232"/>
      <c r="C66" s="232"/>
      <c r="D66" s="232"/>
      <c r="E66" s="232"/>
      <c r="F66" s="232"/>
    </row>
    <row r="67" spans="1:8" ht="36.75" customHeight="1" x14ac:dyDescent="0.3">
      <c r="A67" s="231" t="s">
        <v>313</v>
      </c>
      <c r="B67" s="231"/>
      <c r="C67" s="231"/>
      <c r="D67" s="231"/>
      <c r="E67" s="231"/>
      <c r="F67" s="231"/>
    </row>
    <row r="68" spans="1:8" ht="38.25" customHeight="1" x14ac:dyDescent="0.3">
      <c r="A68" s="231" t="s">
        <v>338</v>
      </c>
      <c r="B68" s="231"/>
      <c r="C68" s="231"/>
      <c r="D68" s="231"/>
      <c r="E68" s="231"/>
      <c r="F68" s="231"/>
    </row>
    <row r="69" spans="1:8" ht="14.25" customHeight="1" x14ac:dyDescent="0.3">
      <c r="A69" s="247"/>
      <c r="B69" s="247"/>
      <c r="C69" s="247"/>
      <c r="D69" s="247"/>
      <c r="E69" s="247"/>
      <c r="F69" s="247"/>
    </row>
    <row r="70" spans="1:8" s="112" customFormat="1" ht="23.25" customHeight="1" x14ac:dyDescent="0.3">
      <c r="A70" s="234" t="s">
        <v>85</v>
      </c>
      <c r="B70" s="232"/>
      <c r="C70" s="232"/>
      <c r="D70" s="232"/>
      <c r="E70" s="232"/>
      <c r="F70" s="232"/>
      <c r="G70" s="79"/>
      <c r="H70" s="152"/>
    </row>
    <row r="71" spans="1:8" ht="21.75" customHeight="1" x14ac:dyDescent="0.3">
      <c r="A71" s="232" t="s">
        <v>70</v>
      </c>
      <c r="B71" s="231"/>
      <c r="C71" s="231"/>
      <c r="D71" s="231"/>
      <c r="E71" s="231"/>
      <c r="F71" s="231"/>
    </row>
    <row r="72" spans="1:8" ht="36.75" customHeight="1" x14ac:dyDescent="0.3">
      <c r="A72" s="231" t="s">
        <v>314</v>
      </c>
      <c r="B72" s="231"/>
      <c r="C72" s="231"/>
      <c r="D72" s="231"/>
      <c r="E72" s="231"/>
      <c r="F72" s="231"/>
    </row>
    <row r="73" spans="1:8" ht="24.75" customHeight="1" x14ac:dyDescent="0.3">
      <c r="A73" s="232" t="s">
        <v>72</v>
      </c>
      <c r="B73" s="232"/>
      <c r="C73" s="232"/>
      <c r="D73" s="232"/>
      <c r="E73" s="232"/>
      <c r="F73" s="232"/>
    </row>
    <row r="74" spans="1:8" ht="24" customHeight="1" x14ac:dyDescent="0.3">
      <c r="A74" s="231" t="s">
        <v>315</v>
      </c>
      <c r="B74" s="231"/>
      <c r="C74" s="231"/>
      <c r="D74" s="231"/>
      <c r="E74" s="231"/>
      <c r="F74" s="231"/>
    </row>
    <row r="75" spans="1:8" ht="25.5" customHeight="1" x14ac:dyDescent="0.3">
      <c r="A75" s="231" t="s">
        <v>316</v>
      </c>
      <c r="B75" s="231"/>
      <c r="C75" s="231"/>
      <c r="D75" s="231"/>
      <c r="E75" s="231"/>
      <c r="F75" s="231"/>
    </row>
    <row r="76" spans="1:8" ht="38.25" customHeight="1" x14ac:dyDescent="0.3">
      <c r="A76" s="231" t="s">
        <v>317</v>
      </c>
      <c r="B76" s="231"/>
      <c r="C76" s="231"/>
      <c r="D76" s="231"/>
      <c r="E76" s="231"/>
      <c r="F76" s="231"/>
    </row>
    <row r="77" spans="1:8" ht="54" customHeight="1" x14ac:dyDescent="0.3">
      <c r="A77" s="231" t="s">
        <v>318</v>
      </c>
      <c r="B77" s="231"/>
      <c r="C77" s="231"/>
      <c r="D77" s="231"/>
      <c r="E77" s="231"/>
      <c r="F77" s="231"/>
    </row>
    <row r="78" spans="1:8" ht="55.5" customHeight="1" x14ac:dyDescent="0.3">
      <c r="A78" s="231" t="s">
        <v>319</v>
      </c>
      <c r="B78" s="231"/>
      <c r="C78" s="231"/>
      <c r="D78" s="231"/>
      <c r="E78" s="231"/>
      <c r="F78" s="231"/>
    </row>
    <row r="79" spans="1:8" ht="37.5" customHeight="1" x14ac:dyDescent="0.3">
      <c r="A79" s="231" t="s">
        <v>274</v>
      </c>
      <c r="B79" s="231"/>
      <c r="C79" s="231"/>
      <c r="D79" s="231"/>
      <c r="E79" s="231"/>
      <c r="F79" s="231"/>
    </row>
    <row r="80" spans="1:8" ht="26.25" customHeight="1" x14ac:dyDescent="0.3">
      <c r="A80" s="232" t="s">
        <v>301</v>
      </c>
      <c r="B80" s="232"/>
      <c r="C80" s="232"/>
      <c r="D80" s="232"/>
      <c r="E80" s="232"/>
      <c r="F80" s="232"/>
    </row>
    <row r="81" spans="1:8" ht="39.75" customHeight="1" x14ac:dyDescent="0.3">
      <c r="A81" s="231" t="s">
        <v>300</v>
      </c>
      <c r="B81" s="231"/>
      <c r="C81" s="231"/>
      <c r="D81" s="231"/>
      <c r="E81" s="231"/>
      <c r="F81" s="231"/>
    </row>
    <row r="82" spans="1:8" ht="18.75" customHeight="1" x14ac:dyDescent="0.3">
      <c r="A82" s="111"/>
      <c r="B82" s="111"/>
      <c r="C82" s="111"/>
      <c r="D82" s="111"/>
      <c r="E82" s="111"/>
      <c r="F82" s="80" t="s">
        <v>7</v>
      </c>
    </row>
    <row r="83" spans="1:8" s="81" customFormat="1" ht="24" customHeight="1" x14ac:dyDescent="0.2">
      <c r="A83" s="109" t="s">
        <v>1</v>
      </c>
      <c r="B83" s="233" t="s">
        <v>2</v>
      </c>
      <c r="C83" s="233"/>
      <c r="D83" s="109" t="s">
        <v>3</v>
      </c>
      <c r="E83" s="109" t="s">
        <v>4</v>
      </c>
      <c r="F83" s="109" t="s">
        <v>5</v>
      </c>
      <c r="H83" s="153"/>
    </row>
    <row r="84" spans="1:8" s="81" customFormat="1" ht="18.75" customHeight="1" x14ac:dyDescent="0.2">
      <c r="A84" s="222" t="s">
        <v>30</v>
      </c>
      <c r="B84" s="103" t="s">
        <v>334</v>
      </c>
      <c r="C84" s="121"/>
      <c r="D84" s="122">
        <v>308.3</v>
      </c>
      <c r="E84" s="124">
        <v>113</v>
      </c>
      <c r="F84" s="124">
        <f>D84+E84</f>
        <v>421.3</v>
      </c>
      <c r="H84" s="153"/>
    </row>
    <row r="85" spans="1:8" s="81" customFormat="1" ht="18.75" customHeight="1" x14ac:dyDescent="0.2">
      <c r="A85" s="223"/>
      <c r="B85" s="103" t="s">
        <v>335</v>
      </c>
      <c r="C85" s="121"/>
      <c r="D85" s="122">
        <v>1</v>
      </c>
      <c r="E85" s="124">
        <v>40</v>
      </c>
      <c r="F85" s="124">
        <f t="shared" ref="F85:F146" si="1">D85+E85</f>
        <v>41</v>
      </c>
      <c r="H85" s="153"/>
    </row>
    <row r="86" spans="1:8" ht="17.25" customHeight="1" x14ac:dyDescent="0.25">
      <c r="A86" s="223"/>
      <c r="B86" s="119" t="s">
        <v>304</v>
      </c>
      <c r="C86" s="158"/>
      <c r="D86" s="123">
        <v>1104.8</v>
      </c>
      <c r="E86" s="120">
        <f>3000+846.4-555.6-1507</f>
        <v>1783.8000000000002</v>
      </c>
      <c r="F86" s="124">
        <f t="shared" si="1"/>
        <v>2888.6000000000004</v>
      </c>
    </row>
    <row r="87" spans="1:8" ht="17.25" customHeight="1" x14ac:dyDescent="0.25">
      <c r="A87" s="223"/>
      <c r="B87" s="119" t="s">
        <v>336</v>
      </c>
      <c r="C87" s="158"/>
      <c r="D87" s="123">
        <v>5134.5</v>
      </c>
      <c r="E87" s="120">
        <v>96.6</v>
      </c>
      <c r="F87" s="124">
        <f t="shared" si="1"/>
        <v>5231.1000000000004</v>
      </c>
    </row>
    <row r="88" spans="1:8" ht="17.25" customHeight="1" x14ac:dyDescent="0.25">
      <c r="A88" s="223"/>
      <c r="B88" s="119" t="s">
        <v>337</v>
      </c>
      <c r="C88" s="158"/>
      <c r="D88" s="123">
        <v>90.1</v>
      </c>
      <c r="E88" s="120">
        <v>5</v>
      </c>
      <c r="F88" s="124">
        <f t="shared" si="1"/>
        <v>95.1</v>
      </c>
    </row>
    <row r="89" spans="1:8" ht="17.25" customHeight="1" x14ac:dyDescent="0.25">
      <c r="A89" s="223"/>
      <c r="B89" s="119" t="s">
        <v>362</v>
      </c>
      <c r="C89" s="158"/>
      <c r="D89" s="123">
        <v>21301</v>
      </c>
      <c r="E89" s="120">
        <v>224.8</v>
      </c>
      <c r="F89" s="124">
        <f t="shared" si="1"/>
        <v>21525.8</v>
      </c>
    </row>
    <row r="90" spans="1:8" ht="17.25" customHeight="1" x14ac:dyDescent="0.25">
      <c r="A90" s="224"/>
      <c r="B90" s="119" t="s">
        <v>400</v>
      </c>
      <c r="C90" s="158"/>
      <c r="D90" s="123">
        <v>0</v>
      </c>
      <c r="E90" s="120">
        <v>555.6</v>
      </c>
      <c r="F90" s="124">
        <f t="shared" si="1"/>
        <v>555.6</v>
      </c>
    </row>
    <row r="91" spans="1:8" ht="17.25" customHeight="1" x14ac:dyDescent="0.25">
      <c r="A91" s="223" t="s">
        <v>25</v>
      </c>
      <c r="B91" s="119" t="s">
        <v>265</v>
      </c>
      <c r="C91" s="158"/>
      <c r="D91" s="123">
        <v>111747.5</v>
      </c>
      <c r="E91" s="120">
        <v>1339</v>
      </c>
      <c r="F91" s="124">
        <f t="shared" si="1"/>
        <v>113086.5</v>
      </c>
    </row>
    <row r="92" spans="1:8" ht="17.25" customHeight="1" x14ac:dyDescent="0.25">
      <c r="A92" s="223"/>
      <c r="B92" s="119" t="s">
        <v>266</v>
      </c>
      <c r="C92" s="158"/>
      <c r="D92" s="123">
        <v>39094.9</v>
      </c>
      <c r="E92" s="120">
        <v>110</v>
      </c>
      <c r="F92" s="124">
        <f t="shared" si="1"/>
        <v>39204.9</v>
      </c>
    </row>
    <row r="93" spans="1:8" ht="17.25" customHeight="1" x14ac:dyDescent="0.25">
      <c r="A93" s="223"/>
      <c r="B93" s="119" t="s">
        <v>409</v>
      </c>
      <c r="C93" s="158"/>
      <c r="D93" s="123">
        <v>128</v>
      </c>
      <c r="E93" s="120">
        <v>15</v>
      </c>
      <c r="F93" s="124">
        <f t="shared" si="1"/>
        <v>143</v>
      </c>
    </row>
    <row r="94" spans="1:8" ht="17.25" customHeight="1" x14ac:dyDescent="0.25">
      <c r="A94" s="223"/>
      <c r="B94" s="119" t="s">
        <v>286</v>
      </c>
      <c r="C94" s="158"/>
      <c r="D94" s="123">
        <v>4.5969999999999997E-2</v>
      </c>
      <c r="E94" s="120">
        <v>1.155E-2</v>
      </c>
      <c r="F94" s="124">
        <f t="shared" si="1"/>
        <v>5.7519999999999995E-2</v>
      </c>
    </row>
    <row r="95" spans="1:8" ht="17.25" customHeight="1" x14ac:dyDescent="0.25">
      <c r="A95" s="223"/>
      <c r="B95" s="119" t="s">
        <v>287</v>
      </c>
      <c r="C95" s="158"/>
      <c r="D95" s="123">
        <v>8.9540299999999995</v>
      </c>
      <c r="E95" s="120">
        <v>1.4884500000000001</v>
      </c>
      <c r="F95" s="124">
        <f t="shared" si="1"/>
        <v>10.44248</v>
      </c>
    </row>
    <row r="96" spans="1:8" ht="17.25" customHeight="1" x14ac:dyDescent="0.25">
      <c r="A96" s="223"/>
      <c r="B96" s="119" t="s">
        <v>259</v>
      </c>
      <c r="C96" s="158"/>
      <c r="D96" s="123">
        <v>91457.8</v>
      </c>
      <c r="E96" s="120">
        <v>850</v>
      </c>
      <c r="F96" s="124">
        <f t="shared" si="1"/>
        <v>92307.8</v>
      </c>
    </row>
    <row r="97" spans="1:6" ht="17.25" customHeight="1" x14ac:dyDescent="0.25">
      <c r="A97" s="223"/>
      <c r="B97" s="119" t="s">
        <v>260</v>
      </c>
      <c r="C97" s="158"/>
      <c r="D97" s="123">
        <v>487.4</v>
      </c>
      <c r="E97" s="120">
        <v>-30</v>
      </c>
      <c r="F97" s="124">
        <f t="shared" si="1"/>
        <v>457.4</v>
      </c>
    </row>
    <row r="98" spans="1:6" ht="17.25" customHeight="1" x14ac:dyDescent="0.25">
      <c r="A98" s="223"/>
      <c r="B98" s="119" t="s">
        <v>261</v>
      </c>
      <c r="C98" s="158"/>
      <c r="D98" s="123">
        <v>6.4</v>
      </c>
      <c r="E98" s="120">
        <v>1.3</v>
      </c>
      <c r="F98" s="124">
        <f t="shared" si="1"/>
        <v>7.7</v>
      </c>
    </row>
    <row r="99" spans="1:6" ht="17.25" customHeight="1" x14ac:dyDescent="0.25">
      <c r="A99" s="223"/>
      <c r="B99" s="119" t="s">
        <v>262</v>
      </c>
      <c r="C99" s="158"/>
      <c r="D99" s="123">
        <v>351.6</v>
      </c>
      <c r="E99" s="120">
        <v>86.7</v>
      </c>
      <c r="F99" s="124">
        <f t="shared" si="1"/>
        <v>438.3</v>
      </c>
    </row>
    <row r="100" spans="1:6" ht="17.25" customHeight="1" x14ac:dyDescent="0.25">
      <c r="A100" s="223"/>
      <c r="B100" s="119" t="s">
        <v>263</v>
      </c>
      <c r="C100" s="158"/>
      <c r="D100" s="123">
        <v>86511</v>
      </c>
      <c r="E100" s="120">
        <v>3200</v>
      </c>
      <c r="F100" s="124">
        <f t="shared" si="1"/>
        <v>89711</v>
      </c>
    </row>
    <row r="101" spans="1:6" ht="17.25" customHeight="1" x14ac:dyDescent="0.25">
      <c r="A101" s="223"/>
      <c r="B101" s="119" t="s">
        <v>269</v>
      </c>
      <c r="C101" s="158"/>
      <c r="D101" s="123">
        <v>517.4</v>
      </c>
      <c r="E101" s="120">
        <v>-30</v>
      </c>
      <c r="F101" s="124">
        <f t="shared" si="1"/>
        <v>487.4</v>
      </c>
    </row>
    <row r="102" spans="1:6" ht="17.25" customHeight="1" x14ac:dyDescent="0.25">
      <c r="A102" s="223"/>
      <c r="B102" s="119" t="s">
        <v>270</v>
      </c>
      <c r="C102" s="158"/>
      <c r="D102" s="123">
        <v>1582.4</v>
      </c>
      <c r="E102" s="120">
        <v>100</v>
      </c>
      <c r="F102" s="124">
        <f t="shared" si="1"/>
        <v>1682.4</v>
      </c>
    </row>
    <row r="103" spans="1:6" ht="17.25" customHeight="1" x14ac:dyDescent="0.25">
      <c r="A103" s="223"/>
      <c r="B103" s="119" t="s">
        <v>271</v>
      </c>
      <c r="C103" s="158"/>
      <c r="D103" s="123">
        <v>9069.1</v>
      </c>
      <c r="E103" s="120">
        <v>-100</v>
      </c>
      <c r="F103" s="124">
        <f t="shared" si="1"/>
        <v>8969.1</v>
      </c>
    </row>
    <row r="104" spans="1:6" ht="17.25" customHeight="1" x14ac:dyDescent="0.25">
      <c r="A104" s="223"/>
      <c r="B104" s="119" t="s">
        <v>277</v>
      </c>
      <c r="C104" s="158"/>
      <c r="D104" s="123">
        <v>459.8</v>
      </c>
      <c r="E104" s="120">
        <v>-45</v>
      </c>
      <c r="F104" s="124">
        <f t="shared" si="1"/>
        <v>414.8</v>
      </c>
    </row>
    <row r="105" spans="1:6" ht="17.25" customHeight="1" x14ac:dyDescent="0.25">
      <c r="A105" s="223"/>
      <c r="B105" s="119" t="s">
        <v>279</v>
      </c>
      <c r="C105" s="158"/>
      <c r="D105" s="123">
        <v>2</v>
      </c>
      <c r="E105" s="120">
        <v>1.3</v>
      </c>
      <c r="F105" s="124">
        <f t="shared" si="1"/>
        <v>3.3</v>
      </c>
    </row>
    <row r="106" spans="1:6" ht="17.25" customHeight="1" x14ac:dyDescent="0.25">
      <c r="A106" s="223"/>
      <c r="B106" s="119" t="s">
        <v>278</v>
      </c>
      <c r="C106" s="158"/>
      <c r="D106" s="123">
        <v>8402.1</v>
      </c>
      <c r="E106" s="120">
        <v>648.70000000000005</v>
      </c>
      <c r="F106" s="124">
        <f t="shared" si="1"/>
        <v>9050.8000000000011</v>
      </c>
    </row>
    <row r="107" spans="1:6" ht="17.25" customHeight="1" x14ac:dyDescent="0.25">
      <c r="A107" s="223"/>
      <c r="B107" s="119" t="s">
        <v>283</v>
      </c>
      <c r="C107" s="158"/>
      <c r="D107" s="123">
        <v>22.8</v>
      </c>
      <c r="E107" s="120">
        <v>0.39500000000000002</v>
      </c>
      <c r="F107" s="124">
        <f t="shared" si="1"/>
        <v>23.195</v>
      </c>
    </row>
    <row r="108" spans="1:6" ht="17.25" customHeight="1" x14ac:dyDescent="0.25">
      <c r="A108" s="223"/>
      <c r="B108" s="119" t="s">
        <v>284</v>
      </c>
      <c r="C108" s="158"/>
      <c r="D108" s="123">
        <v>1294.2</v>
      </c>
      <c r="E108" s="120">
        <v>17.704999999999998</v>
      </c>
      <c r="F108" s="124">
        <f t="shared" si="1"/>
        <v>1311.905</v>
      </c>
    </row>
    <row r="109" spans="1:6" ht="17.25" customHeight="1" x14ac:dyDescent="0.25">
      <c r="A109" s="223"/>
      <c r="B109" s="119" t="s">
        <v>272</v>
      </c>
      <c r="C109" s="158"/>
      <c r="D109" s="123">
        <v>55541</v>
      </c>
      <c r="E109" s="120">
        <v>-4017</v>
      </c>
      <c r="F109" s="124">
        <f t="shared" si="1"/>
        <v>51524</v>
      </c>
    </row>
    <row r="110" spans="1:6" ht="17.25" customHeight="1" x14ac:dyDescent="0.25">
      <c r="A110" s="223"/>
      <c r="B110" s="119" t="s">
        <v>273</v>
      </c>
      <c r="C110" s="158"/>
      <c r="D110" s="123">
        <v>632</v>
      </c>
      <c r="E110" s="120">
        <v>-390</v>
      </c>
      <c r="F110" s="124">
        <f t="shared" si="1"/>
        <v>242</v>
      </c>
    </row>
    <row r="111" spans="1:6" ht="17.25" customHeight="1" x14ac:dyDescent="0.25">
      <c r="A111" s="223"/>
      <c r="B111" s="119" t="s">
        <v>275</v>
      </c>
      <c r="C111" s="158"/>
      <c r="D111" s="123">
        <v>32.200000000000003</v>
      </c>
      <c r="E111" s="120">
        <v>5</v>
      </c>
      <c r="F111" s="124">
        <f t="shared" si="1"/>
        <v>37.200000000000003</v>
      </c>
    </row>
    <row r="112" spans="1:6" ht="17.25" customHeight="1" x14ac:dyDescent="0.25">
      <c r="A112" s="223"/>
      <c r="B112" s="119" t="s">
        <v>276</v>
      </c>
      <c r="C112" s="158"/>
      <c r="D112" s="123">
        <v>7493.8</v>
      </c>
      <c r="E112" s="120">
        <v>995</v>
      </c>
      <c r="F112" s="124">
        <f t="shared" si="1"/>
        <v>8488.7999999999993</v>
      </c>
    </row>
    <row r="113" spans="1:8" ht="17.25" customHeight="1" x14ac:dyDescent="0.25">
      <c r="A113" s="223"/>
      <c r="B113" s="119" t="s">
        <v>364</v>
      </c>
      <c r="C113" s="158"/>
      <c r="D113" s="123">
        <v>1431.5</v>
      </c>
      <c r="E113" s="120">
        <v>380.7</v>
      </c>
      <c r="F113" s="124">
        <f t="shared" si="1"/>
        <v>1812.2</v>
      </c>
    </row>
    <row r="114" spans="1:8" ht="17.25" customHeight="1" x14ac:dyDescent="0.25">
      <c r="A114" s="222" t="s">
        <v>8</v>
      </c>
      <c r="B114" s="235" t="s">
        <v>297</v>
      </c>
      <c r="C114" s="235"/>
      <c r="D114" s="123">
        <v>36615.199999999997</v>
      </c>
      <c r="E114" s="120">
        <v>1015.6</v>
      </c>
      <c r="F114" s="124">
        <f t="shared" si="1"/>
        <v>37630.799999999996</v>
      </c>
    </row>
    <row r="115" spans="1:8" ht="17.25" customHeight="1" x14ac:dyDescent="0.25">
      <c r="A115" s="223"/>
      <c r="B115" s="235" t="s">
        <v>298</v>
      </c>
      <c r="C115" s="235"/>
      <c r="D115" s="123">
        <v>185241.8</v>
      </c>
      <c r="E115" s="120">
        <v>5937.3</v>
      </c>
      <c r="F115" s="124">
        <f t="shared" si="1"/>
        <v>191179.09999999998</v>
      </c>
    </row>
    <row r="116" spans="1:8" s="112" customFormat="1" ht="17.25" customHeight="1" x14ac:dyDescent="0.25">
      <c r="A116" s="223"/>
      <c r="B116" s="157" t="s">
        <v>345</v>
      </c>
      <c r="C116" s="157"/>
      <c r="D116" s="123">
        <v>154971.79999999999</v>
      </c>
      <c r="E116" s="120">
        <f>165.6+2486.8+400+8468</f>
        <v>11520.4</v>
      </c>
      <c r="F116" s="124">
        <f t="shared" si="1"/>
        <v>166492.19999999998</v>
      </c>
      <c r="G116" s="79"/>
      <c r="H116" s="152"/>
    </row>
    <row r="117" spans="1:8" s="112" customFormat="1" ht="17.25" customHeight="1" x14ac:dyDescent="0.25">
      <c r="A117" s="223"/>
      <c r="B117" s="157" t="s">
        <v>346</v>
      </c>
      <c r="C117" s="157"/>
      <c r="D117" s="123">
        <v>24042.6</v>
      </c>
      <c r="E117" s="120">
        <v>48</v>
      </c>
      <c r="F117" s="124">
        <f t="shared" si="1"/>
        <v>24090.6</v>
      </c>
      <c r="G117" s="79"/>
      <c r="H117" s="152"/>
    </row>
    <row r="118" spans="1:8" s="112" customFormat="1" ht="17.25" customHeight="1" x14ac:dyDescent="0.25">
      <c r="A118" s="223"/>
      <c r="B118" s="157" t="s">
        <v>348</v>
      </c>
      <c r="C118" s="157"/>
      <c r="D118" s="123">
        <v>12056</v>
      </c>
      <c r="E118" s="120">
        <f>234.1+309+271.1</f>
        <v>814.2</v>
      </c>
      <c r="F118" s="124">
        <f t="shared" si="1"/>
        <v>12870.2</v>
      </c>
      <c r="G118" s="79"/>
      <c r="H118" s="152"/>
    </row>
    <row r="119" spans="1:8" ht="17.25" customHeight="1" x14ac:dyDescent="0.25">
      <c r="A119" s="223"/>
      <c r="B119" s="235" t="s">
        <v>267</v>
      </c>
      <c r="C119" s="235"/>
      <c r="D119" s="120">
        <v>32860.6</v>
      </c>
      <c r="E119" s="120">
        <v>110.6</v>
      </c>
      <c r="F119" s="124">
        <f t="shared" si="1"/>
        <v>32971.199999999997</v>
      </c>
    </row>
    <row r="120" spans="1:8" ht="17.25" customHeight="1" x14ac:dyDescent="0.25">
      <c r="A120" s="223"/>
      <c r="B120" s="235" t="s">
        <v>268</v>
      </c>
      <c r="C120" s="235"/>
      <c r="D120" s="120">
        <v>11453.2</v>
      </c>
      <c r="E120" s="120">
        <v>575.1</v>
      </c>
      <c r="F120" s="124">
        <f t="shared" si="1"/>
        <v>12028.300000000001</v>
      </c>
    </row>
    <row r="121" spans="1:8" ht="17.25" customHeight="1" x14ac:dyDescent="0.25">
      <c r="A121" s="223"/>
      <c r="B121" s="235" t="s">
        <v>280</v>
      </c>
      <c r="C121" s="235"/>
      <c r="D121" s="120">
        <v>69229.2</v>
      </c>
      <c r="E121" s="120">
        <v>221.7</v>
      </c>
      <c r="F121" s="124">
        <f t="shared" si="1"/>
        <v>69450.899999999994</v>
      </c>
    </row>
    <row r="122" spans="1:8" ht="17.25" customHeight="1" x14ac:dyDescent="0.25">
      <c r="A122" s="223"/>
      <c r="B122" s="235" t="s">
        <v>281</v>
      </c>
      <c r="C122" s="235"/>
      <c r="D122" s="120">
        <v>1963.8</v>
      </c>
      <c r="E122" s="120">
        <v>20.5</v>
      </c>
      <c r="F122" s="124">
        <f t="shared" si="1"/>
        <v>1984.3</v>
      </c>
    </row>
    <row r="123" spans="1:8" ht="17.25" customHeight="1" x14ac:dyDescent="0.25">
      <c r="A123" s="223"/>
      <c r="B123" s="235" t="s">
        <v>282</v>
      </c>
      <c r="C123" s="235"/>
      <c r="D123" s="120">
        <v>294592.2</v>
      </c>
      <c r="E123" s="120">
        <v>4190.3999999999996</v>
      </c>
      <c r="F123" s="124">
        <f t="shared" si="1"/>
        <v>298782.60000000003</v>
      </c>
    </row>
    <row r="124" spans="1:8" s="112" customFormat="1" ht="17.25" customHeight="1" x14ac:dyDescent="0.25">
      <c r="A124" s="223"/>
      <c r="B124" s="157" t="s">
        <v>347</v>
      </c>
      <c r="C124" s="157"/>
      <c r="D124" s="120">
        <v>56768.2</v>
      </c>
      <c r="E124" s="120">
        <f>3097.4+450.8+2353.7+7755.6</f>
        <v>13657.5</v>
      </c>
      <c r="F124" s="124">
        <f t="shared" si="1"/>
        <v>70425.7</v>
      </c>
      <c r="G124" s="79"/>
      <c r="H124" s="152"/>
    </row>
    <row r="125" spans="1:8" s="112" customFormat="1" ht="17.25" customHeight="1" x14ac:dyDescent="0.25">
      <c r="A125" s="223"/>
      <c r="B125" s="157" t="s">
        <v>351</v>
      </c>
      <c r="C125" s="157"/>
      <c r="D125" s="120">
        <v>8441.9</v>
      </c>
      <c r="E125" s="120">
        <f>514.8+77+269</f>
        <v>860.8</v>
      </c>
      <c r="F125" s="124">
        <f t="shared" si="1"/>
        <v>9302.6999999999989</v>
      </c>
      <c r="G125" s="79"/>
      <c r="H125" s="152"/>
    </row>
    <row r="126" spans="1:8" s="112" customFormat="1" ht="17.25" customHeight="1" x14ac:dyDescent="0.25">
      <c r="A126" s="223"/>
      <c r="B126" s="157" t="s">
        <v>356</v>
      </c>
      <c r="C126" s="157"/>
      <c r="D126" s="120">
        <v>119.3</v>
      </c>
      <c r="E126" s="120">
        <v>130.69999999999999</v>
      </c>
      <c r="F126" s="124">
        <f t="shared" si="1"/>
        <v>250</v>
      </c>
      <c r="G126" s="79"/>
      <c r="H126" s="152"/>
    </row>
    <row r="127" spans="1:8" s="112" customFormat="1" ht="17.25" customHeight="1" x14ac:dyDescent="0.25">
      <c r="A127" s="223"/>
      <c r="B127" s="157" t="s">
        <v>349</v>
      </c>
      <c r="C127" s="157"/>
      <c r="D127" s="120">
        <v>135697.60000000001</v>
      </c>
      <c r="E127" s="120">
        <f>43.3+1267.3+14.7+1174.5+151.3</f>
        <v>2651.1000000000004</v>
      </c>
      <c r="F127" s="124">
        <f t="shared" si="1"/>
        <v>138348.70000000001</v>
      </c>
      <c r="G127" s="79"/>
      <c r="H127" s="152"/>
    </row>
    <row r="128" spans="1:8" s="112" customFormat="1" ht="17.25" customHeight="1" x14ac:dyDescent="0.25">
      <c r="A128" s="223"/>
      <c r="B128" s="157" t="s">
        <v>352</v>
      </c>
      <c r="C128" s="157"/>
      <c r="D128" s="120">
        <v>15</v>
      </c>
      <c r="E128" s="120">
        <v>19.399999999999999</v>
      </c>
      <c r="F128" s="124">
        <f t="shared" si="1"/>
        <v>34.4</v>
      </c>
      <c r="G128" s="79"/>
      <c r="H128" s="152"/>
    </row>
    <row r="129" spans="1:9" s="112" customFormat="1" ht="17.25" customHeight="1" x14ac:dyDescent="0.25">
      <c r="A129" s="223"/>
      <c r="B129" s="157" t="s">
        <v>350</v>
      </c>
      <c r="C129" s="157"/>
      <c r="D129" s="120">
        <v>231.6</v>
      </c>
      <c r="E129" s="120">
        <v>423</v>
      </c>
      <c r="F129" s="124">
        <f t="shared" si="1"/>
        <v>654.6</v>
      </c>
      <c r="G129" s="79"/>
      <c r="H129" s="152"/>
    </row>
    <row r="130" spans="1:9" s="112" customFormat="1" ht="17.25" customHeight="1" x14ac:dyDescent="0.25">
      <c r="A130" s="223"/>
      <c r="B130" s="157" t="s">
        <v>355</v>
      </c>
      <c r="C130" s="157"/>
      <c r="D130" s="120">
        <v>3300.9</v>
      </c>
      <c r="E130" s="120">
        <v>380</v>
      </c>
      <c r="F130" s="124">
        <f t="shared" si="1"/>
        <v>3680.9</v>
      </c>
      <c r="G130" s="79"/>
      <c r="H130" s="152"/>
    </row>
    <row r="131" spans="1:9" s="112" customFormat="1" ht="17.25" customHeight="1" x14ac:dyDescent="0.25">
      <c r="A131" s="223"/>
      <c r="B131" s="157" t="s">
        <v>354</v>
      </c>
      <c r="C131" s="157"/>
      <c r="D131" s="120">
        <v>22327.4</v>
      </c>
      <c r="E131" s="120">
        <v>11</v>
      </c>
      <c r="F131" s="124">
        <f t="shared" si="1"/>
        <v>22338.400000000001</v>
      </c>
      <c r="G131" s="79"/>
      <c r="H131" s="152"/>
    </row>
    <row r="132" spans="1:9" s="112" customFormat="1" ht="17.25" customHeight="1" x14ac:dyDescent="0.25">
      <c r="A132" s="223"/>
      <c r="B132" s="157" t="s">
        <v>357</v>
      </c>
      <c r="C132" s="157"/>
      <c r="D132" s="120">
        <v>1822.2</v>
      </c>
      <c r="E132" s="120">
        <v>110</v>
      </c>
      <c r="F132" s="124">
        <f t="shared" si="1"/>
        <v>1932.2</v>
      </c>
      <c r="G132" s="79"/>
      <c r="H132" s="152"/>
    </row>
    <row r="133" spans="1:9" s="112" customFormat="1" ht="17.25" customHeight="1" x14ac:dyDescent="0.25">
      <c r="A133" s="223"/>
      <c r="B133" s="157" t="s">
        <v>353</v>
      </c>
      <c r="C133" s="157"/>
      <c r="D133" s="120">
        <v>23891.200000000001</v>
      </c>
      <c r="E133" s="120">
        <f>60+100+85</f>
        <v>245</v>
      </c>
      <c r="F133" s="124">
        <f t="shared" si="1"/>
        <v>24136.2</v>
      </c>
      <c r="G133" s="79"/>
      <c r="H133" s="152"/>
    </row>
    <row r="134" spans="1:9" ht="17.25" customHeight="1" x14ac:dyDescent="0.25">
      <c r="A134" s="223"/>
      <c r="B134" s="157" t="s">
        <v>327</v>
      </c>
      <c r="C134" s="157"/>
      <c r="D134" s="120">
        <v>3828.5</v>
      </c>
      <c r="E134" s="120">
        <v>81</v>
      </c>
      <c r="F134" s="124">
        <f t="shared" si="1"/>
        <v>3909.5</v>
      </c>
    </row>
    <row r="135" spans="1:9" ht="17.25" customHeight="1" x14ac:dyDescent="0.25">
      <c r="A135" s="224"/>
      <c r="B135" s="235" t="s">
        <v>288</v>
      </c>
      <c r="C135" s="235"/>
      <c r="D135" s="120">
        <v>1000</v>
      </c>
      <c r="E135" s="120">
        <v>-650</v>
      </c>
      <c r="F135" s="124">
        <f t="shared" si="1"/>
        <v>350</v>
      </c>
      <c r="G135" s="89"/>
      <c r="I135" s="89"/>
    </row>
    <row r="136" spans="1:9" ht="17.25" customHeight="1" x14ac:dyDescent="0.25">
      <c r="A136" s="222" t="s">
        <v>256</v>
      </c>
      <c r="B136" s="157" t="s">
        <v>323</v>
      </c>
      <c r="C136" s="157"/>
      <c r="D136" s="120">
        <v>14874.8</v>
      </c>
      <c r="E136" s="120">
        <v>30.1</v>
      </c>
      <c r="F136" s="124">
        <f t="shared" si="1"/>
        <v>14904.9</v>
      </c>
    </row>
    <row r="137" spans="1:9" ht="17.25" customHeight="1" x14ac:dyDescent="0.25">
      <c r="A137" s="223"/>
      <c r="B137" s="157" t="s">
        <v>324</v>
      </c>
      <c r="C137" s="157"/>
      <c r="D137" s="120">
        <v>26937.200000000001</v>
      </c>
      <c r="E137" s="120">
        <v>37.9</v>
      </c>
      <c r="F137" s="124">
        <f t="shared" si="1"/>
        <v>26975.100000000002</v>
      </c>
    </row>
    <row r="138" spans="1:9" ht="17.25" customHeight="1" x14ac:dyDescent="0.25">
      <c r="A138" s="224"/>
      <c r="B138" s="157" t="s">
        <v>325</v>
      </c>
      <c r="C138" s="157"/>
      <c r="D138" s="120">
        <v>20686.2</v>
      </c>
      <c r="E138" s="120">
        <v>618</v>
      </c>
      <c r="F138" s="124">
        <f t="shared" si="1"/>
        <v>21304.2</v>
      </c>
    </row>
    <row r="139" spans="1:9" ht="17.25" customHeight="1" x14ac:dyDescent="0.25">
      <c r="A139" s="222" t="s">
        <v>14</v>
      </c>
      <c r="B139" s="157" t="s">
        <v>358</v>
      </c>
      <c r="C139" s="157"/>
      <c r="D139" s="120">
        <v>29483.5</v>
      </c>
      <c r="E139" s="120">
        <v>364.3</v>
      </c>
      <c r="F139" s="124">
        <f t="shared" si="1"/>
        <v>29847.8</v>
      </c>
    </row>
    <row r="140" spans="1:9" ht="17.25" customHeight="1" x14ac:dyDescent="0.25">
      <c r="A140" s="223"/>
      <c r="B140" s="157" t="s">
        <v>359</v>
      </c>
      <c r="C140" s="157"/>
      <c r="D140" s="120">
        <v>68316</v>
      </c>
      <c r="E140" s="120">
        <f>271.3+1076</f>
        <v>1347.3</v>
      </c>
      <c r="F140" s="124">
        <f t="shared" si="1"/>
        <v>69663.3</v>
      </c>
    </row>
    <row r="141" spans="1:9" ht="17.25" customHeight="1" x14ac:dyDescent="0.25">
      <c r="A141" s="223"/>
      <c r="B141" s="157" t="s">
        <v>360</v>
      </c>
      <c r="C141" s="157"/>
      <c r="D141" s="120">
        <v>4363.3999999999996</v>
      </c>
      <c r="E141" s="120">
        <f>161.8+66.3</f>
        <v>228.10000000000002</v>
      </c>
      <c r="F141" s="124">
        <f t="shared" si="1"/>
        <v>4591.5</v>
      </c>
    </row>
    <row r="142" spans="1:9" ht="17.25" customHeight="1" x14ac:dyDescent="0.25">
      <c r="A142" s="224"/>
      <c r="B142" s="157" t="s">
        <v>331</v>
      </c>
      <c r="C142" s="157"/>
      <c r="D142" s="120">
        <v>22249.8</v>
      </c>
      <c r="E142" s="120">
        <f>213.6+364.7</f>
        <v>578.29999999999995</v>
      </c>
      <c r="F142" s="124">
        <f t="shared" si="1"/>
        <v>22828.1</v>
      </c>
    </row>
    <row r="143" spans="1:9" ht="17.25" customHeight="1" x14ac:dyDescent="0.25">
      <c r="A143" s="113" t="s">
        <v>34</v>
      </c>
      <c r="B143" s="157" t="s">
        <v>299</v>
      </c>
      <c r="C143" s="157"/>
      <c r="D143" s="120">
        <v>14599.7</v>
      </c>
      <c r="E143" s="120">
        <v>-312.46280000000002</v>
      </c>
      <c r="F143" s="124">
        <f t="shared" si="1"/>
        <v>14287.237200000001</v>
      </c>
    </row>
    <row r="144" spans="1:9" ht="17.25" customHeight="1" x14ac:dyDescent="0.25">
      <c r="A144" s="222" t="s">
        <v>26</v>
      </c>
      <c r="B144" s="114" t="s">
        <v>285</v>
      </c>
      <c r="C144" s="115"/>
      <c r="D144" s="120">
        <v>175</v>
      </c>
      <c r="E144" s="120">
        <v>31.9</v>
      </c>
      <c r="F144" s="124">
        <f t="shared" si="1"/>
        <v>206.9</v>
      </c>
    </row>
    <row r="145" spans="1:8" ht="17.25" customHeight="1" x14ac:dyDescent="0.25">
      <c r="A145" s="223"/>
      <c r="B145" s="116" t="s">
        <v>302</v>
      </c>
      <c r="C145" s="117"/>
      <c r="D145" s="120">
        <v>45951.6</v>
      </c>
      <c r="E145" s="120">
        <v>46490.5</v>
      </c>
      <c r="F145" s="124">
        <f t="shared" si="1"/>
        <v>92442.1</v>
      </c>
    </row>
    <row r="146" spans="1:8" ht="17.25" customHeight="1" x14ac:dyDescent="0.25">
      <c r="A146" s="224"/>
      <c r="B146" s="253" t="s">
        <v>303</v>
      </c>
      <c r="C146" s="254"/>
      <c r="D146" s="120">
        <v>135546.1</v>
      </c>
      <c r="E146" s="120">
        <v>17113.900000000001</v>
      </c>
      <c r="F146" s="124">
        <f t="shared" si="1"/>
        <v>152660</v>
      </c>
    </row>
    <row r="147" spans="1:8" ht="22.5" customHeight="1" x14ac:dyDescent="0.35">
      <c r="A147" s="82" t="s">
        <v>6</v>
      </c>
      <c r="B147" s="250"/>
      <c r="C147" s="250"/>
      <c r="D147" s="126"/>
      <c r="E147" s="150">
        <f>SUM(E84:E146)</f>
        <v>114860.2372</v>
      </c>
      <c r="F147" s="126"/>
      <c r="G147" s="125"/>
    </row>
    <row r="148" spans="1:8" ht="9.75" customHeight="1" x14ac:dyDescent="0.35">
      <c r="A148" s="85"/>
      <c r="B148" s="86"/>
      <c r="C148" s="86"/>
      <c r="D148" s="87"/>
      <c r="E148" s="88"/>
      <c r="F148" s="87"/>
    </row>
    <row r="149" spans="1:8" ht="22.5" customHeight="1" x14ac:dyDescent="0.3">
      <c r="A149" s="251" t="s">
        <v>246</v>
      </c>
      <c r="B149" s="251"/>
      <c r="C149" s="251"/>
      <c r="D149" s="251"/>
      <c r="E149" s="251"/>
      <c r="F149" s="251"/>
    </row>
    <row r="150" spans="1:8" ht="24.75" customHeight="1" x14ac:dyDescent="0.3">
      <c r="A150" s="131" t="s">
        <v>31</v>
      </c>
      <c r="B150" s="128"/>
      <c r="C150" s="128"/>
      <c r="D150" s="128"/>
      <c r="E150" s="128"/>
      <c r="F150" s="128"/>
    </row>
    <row r="151" spans="1:8" ht="54" customHeight="1" x14ac:dyDescent="0.3">
      <c r="A151" s="252" t="s">
        <v>406</v>
      </c>
      <c r="B151" s="252"/>
      <c r="C151" s="252"/>
      <c r="D151" s="252"/>
      <c r="E151" s="252"/>
      <c r="F151" s="252"/>
    </row>
    <row r="152" spans="1:8" ht="171.75" customHeight="1" x14ac:dyDescent="0.3">
      <c r="A152" s="248" t="s">
        <v>425</v>
      </c>
      <c r="B152" s="248"/>
      <c r="C152" s="248"/>
      <c r="D152" s="248"/>
      <c r="E152" s="248"/>
      <c r="F152" s="248"/>
    </row>
    <row r="153" spans="1:8" ht="44.25" customHeight="1" x14ac:dyDescent="0.3">
      <c r="A153" s="249" t="s">
        <v>424</v>
      </c>
      <c r="B153" s="248"/>
      <c r="C153" s="248"/>
      <c r="D153" s="248"/>
      <c r="E153" s="248"/>
      <c r="F153" s="248"/>
    </row>
    <row r="154" spans="1:8" s="58" customFormat="1" ht="9.75" customHeight="1" x14ac:dyDescent="0.2">
      <c r="A154" s="14"/>
      <c r="B154" s="14"/>
      <c r="C154" s="14"/>
      <c r="D154" s="14"/>
      <c r="E154" s="14"/>
      <c r="F154" s="98" t="s">
        <v>255</v>
      </c>
      <c r="H154" s="152"/>
    </row>
    <row r="155" spans="1:8" ht="18.75" x14ac:dyDescent="0.25">
      <c r="A155" s="109" t="s">
        <v>1</v>
      </c>
      <c r="B155" s="233" t="s">
        <v>2</v>
      </c>
      <c r="C155" s="233"/>
      <c r="D155" s="109" t="s">
        <v>3</v>
      </c>
      <c r="E155" s="109" t="s">
        <v>4</v>
      </c>
      <c r="F155" s="109" t="s">
        <v>5</v>
      </c>
    </row>
    <row r="156" spans="1:8" ht="18.75" x14ac:dyDescent="0.25">
      <c r="A156" s="222" t="s">
        <v>30</v>
      </c>
      <c r="B156" s="103" t="s">
        <v>328</v>
      </c>
      <c r="C156" s="104"/>
      <c r="D156" s="101">
        <v>6169.5</v>
      </c>
      <c r="E156" s="101">
        <v>339.5</v>
      </c>
      <c r="F156" s="102">
        <f t="shared" ref="F156:F161" si="2">SUM(D156:E156)</f>
        <v>6509</v>
      </c>
    </row>
    <row r="157" spans="1:8" ht="18.75" x14ac:dyDescent="0.3">
      <c r="A157" s="223"/>
      <c r="B157" s="119" t="s">
        <v>329</v>
      </c>
      <c r="C157" s="158"/>
      <c r="D157" s="99">
        <v>3798.6</v>
      </c>
      <c r="E157" s="99">
        <f>-339.5-86.6</f>
        <v>-426.1</v>
      </c>
      <c r="F157" s="100">
        <f t="shared" si="2"/>
        <v>3372.5</v>
      </c>
    </row>
    <row r="158" spans="1:8" ht="18.75" x14ac:dyDescent="0.3">
      <c r="A158" s="223"/>
      <c r="B158" s="119" t="s">
        <v>410</v>
      </c>
      <c r="C158" s="158"/>
      <c r="D158" s="99">
        <v>36733.300000000003</v>
      </c>
      <c r="E158" s="99">
        <f>25+38.9</f>
        <v>63.9</v>
      </c>
      <c r="F158" s="100">
        <f t="shared" si="2"/>
        <v>36797.200000000004</v>
      </c>
    </row>
    <row r="159" spans="1:8" ht="18.75" x14ac:dyDescent="0.3">
      <c r="A159" s="223"/>
      <c r="B159" s="119" t="s">
        <v>407</v>
      </c>
      <c r="C159" s="159"/>
      <c r="D159" s="99">
        <v>17379.099999999999</v>
      </c>
      <c r="E159" s="99">
        <f>-25+272-7.4</f>
        <v>239.6</v>
      </c>
      <c r="F159" s="100">
        <f t="shared" ref="F159" si="3">SUM(D159:E159)</f>
        <v>17618.699999999997</v>
      </c>
    </row>
    <row r="160" spans="1:8" ht="18.75" x14ac:dyDescent="0.3">
      <c r="A160" s="223"/>
      <c r="B160" s="119" t="s">
        <v>414</v>
      </c>
      <c r="C160" s="158"/>
      <c r="D160" s="99">
        <v>428.3</v>
      </c>
      <c r="E160" s="99">
        <v>7.4</v>
      </c>
      <c r="F160" s="100">
        <f t="shared" si="2"/>
        <v>435.7</v>
      </c>
    </row>
    <row r="161" spans="1:6" ht="18.75" x14ac:dyDescent="0.3">
      <c r="A161" s="223"/>
      <c r="B161" s="119" t="s">
        <v>411</v>
      </c>
      <c r="C161" s="158"/>
      <c r="D161" s="99">
        <v>6546.5</v>
      </c>
      <c r="E161" s="99">
        <f>86.6</f>
        <v>86.6</v>
      </c>
      <c r="F161" s="100">
        <f t="shared" si="2"/>
        <v>6633.1</v>
      </c>
    </row>
    <row r="162" spans="1:6" ht="18.75" x14ac:dyDescent="0.3">
      <c r="A162" s="223"/>
      <c r="B162" s="119" t="s">
        <v>335</v>
      </c>
      <c r="C162" s="127"/>
      <c r="D162" s="99">
        <v>41</v>
      </c>
      <c r="E162" s="99">
        <v>-15</v>
      </c>
      <c r="F162" s="100">
        <f t="shared" ref="F162:F185" si="4">SUM(D162:E162)</f>
        <v>26</v>
      </c>
    </row>
    <row r="163" spans="1:6" ht="18.75" x14ac:dyDescent="0.3">
      <c r="A163" s="223"/>
      <c r="B163" s="119" t="s">
        <v>365</v>
      </c>
      <c r="C163" s="127"/>
      <c r="D163" s="99">
        <v>1145.5999999999999</v>
      </c>
      <c r="E163" s="99">
        <v>15</v>
      </c>
      <c r="F163" s="100">
        <f t="shared" si="4"/>
        <v>1160.5999999999999</v>
      </c>
    </row>
    <row r="164" spans="1:6" ht="18.75" x14ac:dyDescent="0.3">
      <c r="A164" s="224"/>
      <c r="B164" s="119" t="s">
        <v>392</v>
      </c>
      <c r="C164" s="145"/>
      <c r="D164" s="99">
        <v>1177</v>
      </c>
      <c r="E164" s="99">
        <f>500+500</f>
        <v>1000</v>
      </c>
      <c r="F164" s="100">
        <f t="shared" si="4"/>
        <v>2177</v>
      </c>
    </row>
    <row r="165" spans="1:6" ht="18.75" x14ac:dyDescent="0.3">
      <c r="A165" s="222" t="s">
        <v>399</v>
      </c>
      <c r="B165" s="119" t="s">
        <v>397</v>
      </c>
      <c r="C165" s="145"/>
      <c r="D165" s="99">
        <v>2752.5</v>
      </c>
      <c r="E165" s="99">
        <v>-15</v>
      </c>
      <c r="F165" s="100">
        <f t="shared" si="4"/>
        <v>2737.5</v>
      </c>
    </row>
    <row r="166" spans="1:6" ht="18.75" x14ac:dyDescent="0.3">
      <c r="A166" s="224"/>
      <c r="B166" s="119" t="s">
        <v>398</v>
      </c>
      <c r="C166" s="145"/>
      <c r="D166" s="99">
        <v>332.5</v>
      </c>
      <c r="E166" s="99">
        <v>15</v>
      </c>
      <c r="F166" s="100">
        <f t="shared" si="4"/>
        <v>347.5</v>
      </c>
    </row>
    <row r="167" spans="1:6" ht="18.75" x14ac:dyDescent="0.3">
      <c r="A167" s="222" t="s">
        <v>8</v>
      </c>
      <c r="B167" s="119" t="s">
        <v>348</v>
      </c>
      <c r="C167" s="134"/>
      <c r="D167" s="99">
        <v>12870.2</v>
      </c>
      <c r="E167" s="99">
        <f>235+37.7+652.7</f>
        <v>925.40000000000009</v>
      </c>
      <c r="F167" s="100">
        <f t="shared" si="4"/>
        <v>13795.6</v>
      </c>
    </row>
    <row r="168" spans="1:6" ht="18.75" x14ac:dyDescent="0.3">
      <c r="A168" s="223"/>
      <c r="B168" s="119" t="s">
        <v>345</v>
      </c>
      <c r="C168" s="134"/>
      <c r="D168" s="99">
        <v>166492.20000000001</v>
      </c>
      <c r="E168" s="99">
        <f>-498.9+115.2+2727</f>
        <v>2343.3000000000002</v>
      </c>
      <c r="F168" s="100">
        <f t="shared" si="4"/>
        <v>168835.5</v>
      </c>
    </row>
    <row r="169" spans="1:6" ht="18.75" x14ac:dyDescent="0.3">
      <c r="A169" s="223"/>
      <c r="B169" s="119" t="s">
        <v>280</v>
      </c>
      <c r="C169" s="118"/>
      <c r="D169" s="99">
        <f>F121</f>
        <v>69450.899999999994</v>
      </c>
      <c r="E169" s="99">
        <v>-2655</v>
      </c>
      <c r="F169" s="100">
        <f t="shared" si="4"/>
        <v>66795.899999999994</v>
      </c>
    </row>
    <row r="170" spans="1:6" ht="18.75" x14ac:dyDescent="0.3">
      <c r="A170" s="223"/>
      <c r="B170" s="119" t="s">
        <v>282</v>
      </c>
      <c r="C170" s="118"/>
      <c r="D170" s="99">
        <f>F123</f>
        <v>298782.60000000003</v>
      </c>
      <c r="E170" s="99">
        <v>2655</v>
      </c>
      <c r="F170" s="100">
        <f t="shared" si="4"/>
        <v>301437.60000000003</v>
      </c>
    </row>
    <row r="171" spans="1:6" ht="18.75" x14ac:dyDescent="0.3">
      <c r="A171" s="223"/>
      <c r="B171" s="119" t="s">
        <v>351</v>
      </c>
      <c r="C171" s="134"/>
      <c r="D171" s="99">
        <v>9302.7000000000007</v>
      </c>
      <c r="E171" s="99">
        <f>-240.1+60-300+39.8+741.7</f>
        <v>301.40000000000003</v>
      </c>
      <c r="F171" s="100">
        <f t="shared" si="4"/>
        <v>9604.1</v>
      </c>
    </row>
    <row r="172" spans="1:6" ht="18.75" x14ac:dyDescent="0.3">
      <c r="A172" s="223"/>
      <c r="B172" s="119" t="s">
        <v>421</v>
      </c>
      <c r="C172" s="162"/>
      <c r="D172" s="99">
        <v>480.1</v>
      </c>
      <c r="E172" s="99">
        <v>25.5</v>
      </c>
      <c r="F172" s="100">
        <f t="shared" ref="F172" si="5">SUM(D172:E172)</f>
        <v>505.6</v>
      </c>
    </row>
    <row r="173" spans="1:6" ht="18.75" x14ac:dyDescent="0.3">
      <c r="A173" s="223"/>
      <c r="B173" s="119" t="s">
        <v>347</v>
      </c>
      <c r="C173" s="134"/>
      <c r="D173" s="99">
        <v>70425.7</v>
      </c>
      <c r="E173" s="99">
        <f>145.3+166.7+92.2-500+2270.5</f>
        <v>2174.6999999999998</v>
      </c>
      <c r="F173" s="100">
        <f t="shared" si="4"/>
        <v>72600.399999999994</v>
      </c>
    </row>
    <row r="174" spans="1:6" ht="18.75" x14ac:dyDescent="0.3">
      <c r="A174" s="223"/>
      <c r="B174" s="119" t="s">
        <v>349</v>
      </c>
      <c r="C174" s="134"/>
      <c r="D174" s="99">
        <v>138348.70000000001</v>
      </c>
      <c r="E174" s="99">
        <f>94.8+36.6+54.9+500+504.5</f>
        <v>1190.8</v>
      </c>
      <c r="F174" s="100">
        <f t="shared" si="4"/>
        <v>139539.5</v>
      </c>
    </row>
    <row r="175" spans="1:6" ht="18.75" x14ac:dyDescent="0.3">
      <c r="A175" s="223"/>
      <c r="B175" s="161" t="s">
        <v>354</v>
      </c>
      <c r="C175" s="162"/>
      <c r="D175" s="99">
        <f>F131</f>
        <v>22338.400000000001</v>
      </c>
      <c r="E175" s="99">
        <v>21.2</v>
      </c>
      <c r="F175" s="100">
        <f t="shared" si="4"/>
        <v>22359.600000000002</v>
      </c>
    </row>
    <row r="176" spans="1:6" ht="18.75" x14ac:dyDescent="0.3">
      <c r="A176" s="223"/>
      <c r="B176" s="119" t="s">
        <v>353</v>
      </c>
      <c r="C176" s="134"/>
      <c r="D176" s="99">
        <v>24136.2</v>
      </c>
      <c r="E176" s="99">
        <f>0.6+143.2</f>
        <v>143.79999999999998</v>
      </c>
      <c r="F176" s="100">
        <f t="shared" si="4"/>
        <v>24280</v>
      </c>
    </row>
    <row r="177" spans="1:8" ht="18.75" x14ac:dyDescent="0.3">
      <c r="A177" s="223"/>
      <c r="B177" s="119" t="s">
        <v>357</v>
      </c>
      <c r="C177" s="162"/>
      <c r="D177" s="99">
        <v>1932.2</v>
      </c>
      <c r="E177" s="99">
        <v>315.39999999999998</v>
      </c>
      <c r="F177" s="100">
        <f t="shared" ref="F177" si="6">SUM(D177:E177)</f>
        <v>2247.6</v>
      </c>
    </row>
    <row r="178" spans="1:8" ht="18.75" x14ac:dyDescent="0.3">
      <c r="A178" s="223"/>
      <c r="B178" s="119" t="s">
        <v>422</v>
      </c>
      <c r="C178" s="162"/>
      <c r="D178" s="99">
        <v>72.599999999999994</v>
      </c>
      <c r="E178" s="99">
        <v>10.6</v>
      </c>
      <c r="F178" s="100">
        <f t="shared" ref="F178" si="7">SUM(D178:E178)</f>
        <v>83.199999999999989</v>
      </c>
    </row>
    <row r="179" spans="1:8" ht="18.75" x14ac:dyDescent="0.3">
      <c r="A179" s="223"/>
      <c r="B179" s="119" t="s">
        <v>352</v>
      </c>
      <c r="C179" s="134"/>
      <c r="D179" s="99">
        <v>34.4</v>
      </c>
      <c r="E179" s="99">
        <f>5.2+29.4</f>
        <v>34.6</v>
      </c>
      <c r="F179" s="100">
        <f t="shared" si="4"/>
        <v>69</v>
      </c>
    </row>
    <row r="180" spans="1:8" ht="18.75" x14ac:dyDescent="0.3">
      <c r="A180" s="223"/>
      <c r="B180" s="119" t="s">
        <v>382</v>
      </c>
      <c r="C180" s="160"/>
      <c r="D180" s="99">
        <v>68</v>
      </c>
      <c r="E180" s="99">
        <v>-5.2</v>
      </c>
      <c r="F180" s="100">
        <f t="shared" ref="F180" si="8">SUM(D180:E180)</f>
        <v>62.8</v>
      </c>
    </row>
    <row r="181" spans="1:8" ht="18.75" x14ac:dyDescent="0.3">
      <c r="A181" s="223"/>
      <c r="B181" s="119" t="s">
        <v>350</v>
      </c>
      <c r="C181" s="162"/>
      <c r="D181" s="99">
        <f>F129</f>
        <v>654.6</v>
      </c>
      <c r="E181" s="99">
        <v>129.4</v>
      </c>
      <c r="F181" s="100">
        <f t="shared" ref="F181:F183" si="9">SUM(D181:E181)</f>
        <v>784</v>
      </c>
    </row>
    <row r="182" spans="1:8" ht="18.75" x14ac:dyDescent="0.3">
      <c r="A182" s="223"/>
      <c r="B182" s="119" t="s">
        <v>423</v>
      </c>
      <c r="C182" s="162"/>
      <c r="D182" s="99">
        <v>3680.9</v>
      </c>
      <c r="E182" s="99">
        <v>1530</v>
      </c>
      <c r="F182" s="100">
        <f t="shared" si="9"/>
        <v>5210.8999999999996</v>
      </c>
    </row>
    <row r="183" spans="1:8" ht="18.75" x14ac:dyDescent="0.3">
      <c r="A183" s="224"/>
      <c r="B183" s="119" t="s">
        <v>416</v>
      </c>
      <c r="C183" s="134"/>
      <c r="D183" s="99">
        <v>1579.4</v>
      </c>
      <c r="E183" s="99">
        <v>-19</v>
      </c>
      <c r="F183" s="100">
        <f t="shared" si="9"/>
        <v>1560.4</v>
      </c>
    </row>
    <row r="184" spans="1:8" ht="18.75" x14ac:dyDescent="0.3">
      <c r="A184" s="222" t="s">
        <v>305</v>
      </c>
      <c r="B184" s="119" t="s">
        <v>358</v>
      </c>
      <c r="C184" s="132"/>
      <c r="D184" s="99">
        <v>29847.8</v>
      </c>
      <c r="E184" s="99">
        <v>80</v>
      </c>
      <c r="F184" s="100">
        <f t="shared" si="4"/>
        <v>29927.8</v>
      </c>
    </row>
    <row r="185" spans="1:8" ht="18.75" x14ac:dyDescent="0.3">
      <c r="A185" s="223"/>
      <c r="B185" s="119" t="s">
        <v>369</v>
      </c>
      <c r="C185" s="132"/>
      <c r="D185" s="99">
        <v>5040</v>
      </c>
      <c r="E185" s="99">
        <v>-170</v>
      </c>
      <c r="F185" s="100">
        <f t="shared" si="4"/>
        <v>4870</v>
      </c>
    </row>
    <row r="186" spans="1:8" ht="18.75" x14ac:dyDescent="0.3">
      <c r="A186" s="223"/>
      <c r="B186" s="107" t="s">
        <v>330</v>
      </c>
      <c r="C186" s="108"/>
      <c r="D186" s="99">
        <v>3472.7</v>
      </c>
      <c r="E186" s="99">
        <v>-12.9</v>
      </c>
      <c r="F186" s="100">
        <f t="shared" ref="F186:F189" si="10">SUM(D186:E186)</f>
        <v>3459.7999999999997</v>
      </c>
    </row>
    <row r="187" spans="1:8" ht="18.75" x14ac:dyDescent="0.3">
      <c r="A187" s="223"/>
      <c r="B187" s="119" t="s">
        <v>359</v>
      </c>
      <c r="C187" s="132"/>
      <c r="D187" s="99">
        <f>F140</f>
        <v>69663.3</v>
      </c>
      <c r="E187" s="99">
        <v>90</v>
      </c>
      <c r="F187" s="100">
        <f t="shared" si="10"/>
        <v>69753.3</v>
      </c>
    </row>
    <row r="188" spans="1:8" ht="18.75" x14ac:dyDescent="0.3">
      <c r="A188" s="223"/>
      <c r="B188" s="103" t="s">
        <v>331</v>
      </c>
      <c r="C188" s="104"/>
      <c r="D188" s="133">
        <f>F141</f>
        <v>4591.5</v>
      </c>
      <c r="E188" s="105">
        <v>12.9</v>
      </c>
      <c r="F188" s="99">
        <f t="shared" ref="F188" si="11">SUM(D188:E188)</f>
        <v>4604.3999999999996</v>
      </c>
    </row>
    <row r="189" spans="1:8" ht="18.75" x14ac:dyDescent="0.3">
      <c r="A189" s="224"/>
      <c r="B189" s="103" t="s">
        <v>417</v>
      </c>
      <c r="C189" s="104"/>
      <c r="D189" s="133">
        <v>185</v>
      </c>
      <c r="E189" s="105">
        <v>19</v>
      </c>
      <c r="F189" s="99">
        <f t="shared" si="10"/>
        <v>204</v>
      </c>
    </row>
    <row r="190" spans="1:8" ht="18.75" x14ac:dyDescent="0.3">
      <c r="A190" s="222" t="s">
        <v>25</v>
      </c>
      <c r="B190" s="103" t="s">
        <v>332</v>
      </c>
      <c r="C190" s="104"/>
      <c r="D190" s="105">
        <v>6821.6</v>
      </c>
      <c r="E190" s="105">
        <v>12.7</v>
      </c>
      <c r="F190" s="99">
        <f t="shared" ref="F190:F204" si="12">SUM(D190:E190)</f>
        <v>6834.3</v>
      </c>
    </row>
    <row r="191" spans="1:8" ht="18.75" x14ac:dyDescent="0.3">
      <c r="A191" s="223"/>
      <c r="B191" s="103" t="s">
        <v>333</v>
      </c>
      <c r="C191" s="104"/>
      <c r="D191" s="105">
        <v>314</v>
      </c>
      <c r="E191" s="105">
        <v>-12.7</v>
      </c>
      <c r="F191" s="99">
        <f t="shared" si="12"/>
        <v>301.3</v>
      </c>
    </row>
    <row r="192" spans="1:8" s="112" customFormat="1" ht="18.75" x14ac:dyDescent="0.3">
      <c r="A192" s="223"/>
      <c r="B192" s="103" t="s">
        <v>364</v>
      </c>
      <c r="C192" s="104"/>
      <c r="D192" s="105">
        <v>1812.2</v>
      </c>
      <c r="E192" s="105">
        <v>-20</v>
      </c>
      <c r="F192" s="99">
        <f t="shared" ref="F192:F193" si="13">SUM(D192:E192)</f>
        <v>1792.2</v>
      </c>
      <c r="H192" s="152"/>
    </row>
    <row r="193" spans="1:8" s="112" customFormat="1" ht="18.75" x14ac:dyDescent="0.3">
      <c r="A193" s="223"/>
      <c r="B193" s="103" t="s">
        <v>408</v>
      </c>
      <c r="C193" s="104"/>
      <c r="D193" s="105">
        <v>930.7</v>
      </c>
      <c r="E193" s="105">
        <v>20</v>
      </c>
      <c r="F193" s="99">
        <f t="shared" si="13"/>
        <v>950.7</v>
      </c>
      <c r="H193" s="152"/>
    </row>
    <row r="194" spans="1:8" s="112" customFormat="1" ht="18.75" x14ac:dyDescent="0.3">
      <c r="A194" s="223"/>
      <c r="B194" s="103" t="s">
        <v>390</v>
      </c>
      <c r="C194" s="104"/>
      <c r="D194" s="105">
        <v>21152.7</v>
      </c>
      <c r="E194" s="105">
        <v>-1.5</v>
      </c>
      <c r="F194" s="99">
        <f t="shared" si="12"/>
        <v>21151.200000000001</v>
      </c>
      <c r="H194" s="152"/>
    </row>
    <row r="195" spans="1:8" s="112" customFormat="1" ht="18.75" x14ac:dyDescent="0.3">
      <c r="A195" s="224"/>
      <c r="B195" s="103" t="s">
        <v>391</v>
      </c>
      <c r="C195" s="104"/>
      <c r="D195" s="105">
        <v>1107.3</v>
      </c>
      <c r="E195" s="105">
        <v>1.5</v>
      </c>
      <c r="F195" s="99">
        <f t="shared" si="12"/>
        <v>1108.8</v>
      </c>
      <c r="H195" s="152"/>
    </row>
    <row r="196" spans="1:8" s="112" customFormat="1" ht="18.75" x14ac:dyDescent="0.3">
      <c r="A196" s="222" t="s">
        <v>26</v>
      </c>
      <c r="B196" s="103" t="s">
        <v>393</v>
      </c>
      <c r="C196" s="104"/>
      <c r="D196" s="105">
        <v>0</v>
      </c>
      <c r="E196" s="105">
        <v>975</v>
      </c>
      <c r="F196" s="99">
        <f t="shared" si="12"/>
        <v>975</v>
      </c>
      <c r="H196" s="152"/>
    </row>
    <row r="197" spans="1:8" s="112" customFormat="1" ht="18.75" x14ac:dyDescent="0.3">
      <c r="A197" s="223"/>
      <c r="B197" s="103" t="s">
        <v>394</v>
      </c>
      <c r="C197" s="104"/>
      <c r="D197" s="105">
        <v>8038.4</v>
      </c>
      <c r="E197" s="105">
        <f>670.5</f>
        <v>670.5</v>
      </c>
      <c r="F197" s="99">
        <f t="shared" si="12"/>
        <v>8708.9</v>
      </c>
      <c r="H197" s="152"/>
    </row>
    <row r="198" spans="1:8" s="112" customFormat="1" ht="18.75" x14ac:dyDescent="0.3">
      <c r="A198" s="223"/>
      <c r="B198" s="103" t="s">
        <v>420</v>
      </c>
      <c r="C198" s="104"/>
      <c r="D198" s="105">
        <v>0</v>
      </c>
      <c r="E198" s="105">
        <v>4479.7</v>
      </c>
      <c r="F198" s="99"/>
      <c r="H198" s="152"/>
    </row>
    <row r="199" spans="1:8" s="112" customFormat="1" ht="18.75" x14ac:dyDescent="0.3">
      <c r="A199" s="223"/>
      <c r="B199" s="103" t="s">
        <v>415</v>
      </c>
      <c r="C199" s="104"/>
      <c r="D199" s="105">
        <v>0</v>
      </c>
      <c r="E199" s="105">
        <v>200</v>
      </c>
      <c r="F199" s="99">
        <f t="shared" si="12"/>
        <v>200</v>
      </c>
      <c r="H199" s="152"/>
    </row>
    <row r="200" spans="1:8" ht="18.75" x14ac:dyDescent="0.3">
      <c r="A200" s="223"/>
      <c r="B200" s="103" t="s">
        <v>368</v>
      </c>
      <c r="C200" s="104"/>
      <c r="D200" s="133">
        <v>17683.7</v>
      </c>
      <c r="E200" s="133">
        <v>-884.19340999999997</v>
      </c>
      <c r="F200" s="99">
        <f>D200+E200</f>
        <v>16799.506590000001</v>
      </c>
    </row>
    <row r="201" spans="1:8" ht="18.75" x14ac:dyDescent="0.3">
      <c r="A201" s="223"/>
      <c r="B201" s="103" t="s">
        <v>412</v>
      </c>
      <c r="C201" s="104"/>
      <c r="D201" s="133">
        <v>0</v>
      </c>
      <c r="E201" s="133">
        <v>884.2</v>
      </c>
      <c r="F201" s="99">
        <f>D201+E201</f>
        <v>884.2</v>
      </c>
    </row>
    <row r="202" spans="1:8" s="112" customFormat="1" ht="18.75" x14ac:dyDescent="0.3">
      <c r="A202" s="223"/>
      <c r="B202" s="103" t="s">
        <v>396</v>
      </c>
      <c r="C202" s="104"/>
      <c r="D202" s="105">
        <v>9890</v>
      </c>
      <c r="E202" s="105">
        <v>2000</v>
      </c>
      <c r="F202" s="99">
        <f t="shared" si="12"/>
        <v>11890</v>
      </c>
      <c r="H202" s="152"/>
    </row>
    <row r="203" spans="1:8" ht="18.75" x14ac:dyDescent="0.3">
      <c r="A203" s="223"/>
      <c r="B203" s="135" t="s">
        <v>380</v>
      </c>
      <c r="C203" s="136"/>
      <c r="D203" s="105">
        <v>4778.2</v>
      </c>
      <c r="E203" s="105">
        <f>-38.9+4</f>
        <v>-34.9</v>
      </c>
      <c r="F203" s="99">
        <f t="shared" ref="F203" si="14">SUM(D203:E203)</f>
        <v>4743.3</v>
      </c>
    </row>
    <row r="204" spans="1:8" ht="18.75" x14ac:dyDescent="0.3">
      <c r="A204" s="223"/>
      <c r="B204" s="135" t="s">
        <v>413</v>
      </c>
      <c r="C204" s="136"/>
      <c r="D204" s="105">
        <v>499.5</v>
      </c>
      <c r="E204" s="105">
        <v>-4</v>
      </c>
      <c r="F204" s="99">
        <f t="shared" si="12"/>
        <v>495.5</v>
      </c>
    </row>
    <row r="205" spans="1:8" s="112" customFormat="1" ht="18.75" x14ac:dyDescent="0.3">
      <c r="A205" s="223"/>
      <c r="B205" s="146" t="s">
        <v>395</v>
      </c>
      <c r="C205" s="147"/>
      <c r="D205" s="148">
        <v>1426.8</v>
      </c>
      <c r="E205" s="148">
        <f>1713.6-200</f>
        <v>1513.6</v>
      </c>
      <c r="F205" s="149">
        <f>D205+E205</f>
        <v>2940.3999999999996</v>
      </c>
      <c r="H205" s="152"/>
    </row>
    <row r="206" spans="1:8" ht="18.75" hidden="1" customHeight="1" x14ac:dyDescent="0.3">
      <c r="A206" s="223"/>
      <c r="B206" s="146"/>
      <c r="C206" s="147"/>
      <c r="D206" s="148"/>
      <c r="E206" s="148"/>
      <c r="F206" s="149"/>
    </row>
    <row r="207" spans="1:8" ht="18.75" hidden="1" customHeight="1" x14ac:dyDescent="0.3">
      <c r="A207" s="223"/>
      <c r="B207" s="146"/>
      <c r="C207" s="147"/>
      <c r="D207" s="148"/>
      <c r="E207" s="148"/>
      <c r="F207" s="149"/>
    </row>
    <row r="208" spans="1:8" ht="18.75" hidden="1" customHeight="1" x14ac:dyDescent="0.3">
      <c r="A208" s="223"/>
      <c r="B208" s="146"/>
      <c r="C208" s="147"/>
      <c r="D208" s="148"/>
      <c r="E208" s="148"/>
      <c r="F208" s="149"/>
    </row>
    <row r="209" spans="1:6" ht="18.75" hidden="1" customHeight="1" x14ac:dyDescent="0.3">
      <c r="A209" s="223"/>
      <c r="B209" s="146"/>
      <c r="C209" s="147"/>
      <c r="D209" s="148"/>
      <c r="E209" s="148"/>
      <c r="F209" s="149"/>
    </row>
    <row r="210" spans="1:6" ht="18.75" customHeight="1" x14ac:dyDescent="0.25">
      <c r="A210" s="223"/>
      <c r="B210" s="227" t="s">
        <v>366</v>
      </c>
      <c r="C210" s="228"/>
      <c r="D210" s="228"/>
      <c r="E210" s="228"/>
      <c r="F210" s="229"/>
    </row>
    <row r="211" spans="1:6" ht="18.75" x14ac:dyDescent="0.3">
      <c r="A211" s="223"/>
      <c r="B211" s="103" t="s">
        <v>412</v>
      </c>
      <c r="C211" s="104"/>
      <c r="D211" s="133">
        <v>0</v>
      </c>
      <c r="E211" s="133">
        <v>796.44</v>
      </c>
      <c r="F211" s="99">
        <f>D211+E211</f>
        <v>796.44</v>
      </c>
    </row>
    <row r="212" spans="1:6" ht="18.75" customHeight="1" x14ac:dyDescent="0.25">
      <c r="A212" s="223"/>
      <c r="B212" s="227" t="s">
        <v>367</v>
      </c>
      <c r="C212" s="228"/>
      <c r="D212" s="228"/>
      <c r="E212" s="228"/>
      <c r="F212" s="229"/>
    </row>
    <row r="213" spans="1:6" ht="18.75" x14ac:dyDescent="0.3">
      <c r="A213" s="224"/>
      <c r="B213" s="103" t="s">
        <v>412</v>
      </c>
      <c r="C213" s="104"/>
      <c r="D213" s="133">
        <v>0</v>
      </c>
      <c r="E213" s="133">
        <v>821.96</v>
      </c>
      <c r="F213" s="99">
        <f>D213+E213</f>
        <v>821.96</v>
      </c>
    </row>
    <row r="214" spans="1:6" ht="18" customHeight="1" x14ac:dyDescent="0.35">
      <c r="A214" s="82" t="s">
        <v>6</v>
      </c>
      <c r="B214" s="255"/>
      <c r="C214" s="256"/>
      <c r="D214" s="83" t="s">
        <v>20</v>
      </c>
      <c r="E214" s="84">
        <f>SUM(E156:E205)</f>
        <v>20251.706589999998</v>
      </c>
      <c r="F214" s="83"/>
    </row>
    <row r="215" spans="1:6" ht="17.25" customHeight="1" x14ac:dyDescent="0.35">
      <c r="A215" s="85"/>
      <c r="B215" s="86"/>
      <c r="C215" s="86"/>
      <c r="D215" s="87"/>
      <c r="E215" s="88"/>
      <c r="F215" s="88"/>
    </row>
    <row r="216" spans="1:6" ht="105.75" customHeight="1" x14ac:dyDescent="0.3">
      <c r="A216" s="230" t="s">
        <v>428</v>
      </c>
      <c r="B216" s="230"/>
      <c r="C216" s="230"/>
      <c r="D216" s="230"/>
      <c r="E216" s="230"/>
      <c r="F216" s="230"/>
    </row>
    <row r="217" spans="1:6" ht="14.25" customHeight="1" x14ac:dyDescent="0.3">
      <c r="A217" s="110"/>
      <c r="B217" s="90"/>
      <c r="C217" s="110"/>
      <c r="D217" s="110"/>
      <c r="E217" s="110"/>
      <c r="F217" s="91"/>
    </row>
    <row r="218" spans="1:6" ht="15.75" customHeight="1" x14ac:dyDescent="0.3">
      <c r="A218" s="225" t="s">
        <v>66</v>
      </c>
      <c r="B218" s="225"/>
      <c r="C218" s="225"/>
      <c r="D218" s="225"/>
      <c r="E218" s="226" t="s">
        <v>67</v>
      </c>
      <c r="F218" s="226"/>
    </row>
    <row r="219" spans="1:6" ht="19.5" x14ac:dyDescent="0.35">
      <c r="A219" s="85"/>
      <c r="B219" s="86"/>
      <c r="C219" s="86"/>
      <c r="D219" s="87"/>
      <c r="E219" s="88"/>
      <c r="F219" s="87"/>
    </row>
    <row r="220" spans="1:6" x14ac:dyDescent="0.25">
      <c r="B220" s="89"/>
      <c r="E220" s="79" t="s">
        <v>244</v>
      </c>
    </row>
  </sheetData>
  <mergeCells count="98">
    <mergeCell ref="A153:F153"/>
    <mergeCell ref="A84:A90"/>
    <mergeCell ref="A196:A213"/>
    <mergeCell ref="A151:F151"/>
    <mergeCell ref="A165:A166"/>
    <mergeCell ref="A190:A195"/>
    <mergeCell ref="B115:C115"/>
    <mergeCell ref="B155:C155"/>
    <mergeCell ref="B214:C214"/>
    <mergeCell ref="B123:C123"/>
    <mergeCell ref="B119:C119"/>
    <mergeCell ref="A167:A183"/>
    <mergeCell ref="A184:A189"/>
    <mergeCell ref="A78:F78"/>
    <mergeCell ref="A79:F79"/>
    <mergeCell ref="A91:A113"/>
    <mergeCell ref="B121:C121"/>
    <mergeCell ref="B122:C122"/>
    <mergeCell ref="A136:A138"/>
    <mergeCell ref="B135:C135"/>
    <mergeCell ref="B147:C147"/>
    <mergeCell ref="A149:F149"/>
    <mergeCell ref="A114:A135"/>
    <mergeCell ref="B146:C146"/>
    <mergeCell ref="A144:A146"/>
    <mergeCell ref="A139:A142"/>
    <mergeCell ref="A33:F33"/>
    <mergeCell ref="A34:F34"/>
    <mergeCell ref="A40:F40"/>
    <mergeCell ref="A41:F41"/>
    <mergeCell ref="A42:F42"/>
    <mergeCell ref="A35:F35"/>
    <mergeCell ref="A36:F36"/>
    <mergeCell ref="A48:F48"/>
    <mergeCell ref="A37:F37"/>
    <mergeCell ref="A68:F68"/>
    <mergeCell ref="A52:F52"/>
    <mergeCell ref="A39:F39"/>
    <mergeCell ref="A54:F54"/>
    <mergeCell ref="A51:F51"/>
    <mergeCell ref="A65:F65"/>
    <mergeCell ref="A69:F69"/>
    <mergeCell ref="A64:F64"/>
    <mergeCell ref="A75:F75"/>
    <mergeCell ref="A152:F152"/>
    <mergeCell ref="A56:F56"/>
    <mergeCell ref="A1:F1"/>
    <mergeCell ref="A2:F2"/>
    <mergeCell ref="A3:F3"/>
    <mergeCell ref="A4:F4"/>
    <mergeCell ref="A5:F5"/>
    <mergeCell ref="A32:F32"/>
    <mergeCell ref="A8:C8"/>
    <mergeCell ref="A9:E9"/>
    <mergeCell ref="A10:F10"/>
    <mergeCell ref="A11:C11"/>
    <mergeCell ref="A12:F12"/>
    <mergeCell ref="A13:C13"/>
    <mergeCell ref="A15:F15"/>
    <mergeCell ref="A24:F24"/>
    <mergeCell ref="A28:D28"/>
    <mergeCell ref="A31:F31"/>
    <mergeCell ref="A6:C6"/>
    <mergeCell ref="A7:D7"/>
    <mergeCell ref="A29:F29"/>
    <mergeCell ref="A30:F30"/>
    <mergeCell ref="A25:D25"/>
    <mergeCell ref="A26:D26"/>
    <mergeCell ref="A27:D27"/>
    <mergeCell ref="A38:F38"/>
    <mergeCell ref="A81:F81"/>
    <mergeCell ref="A80:F80"/>
    <mergeCell ref="B83:C83"/>
    <mergeCell ref="A71:F71"/>
    <mergeCell ref="A73:F73"/>
    <mergeCell ref="A74:F74"/>
    <mergeCell ref="A43:F43"/>
    <mergeCell ref="A57:F57"/>
    <mergeCell ref="A66:F66"/>
    <mergeCell ref="A70:F70"/>
    <mergeCell ref="A44:F44"/>
    <mergeCell ref="A45:F45"/>
    <mergeCell ref="A46:F46"/>
    <mergeCell ref="A47:F47"/>
    <mergeCell ref="A49:F49"/>
    <mergeCell ref="A67:F67"/>
    <mergeCell ref="A50:F50"/>
    <mergeCell ref="A72:F72"/>
    <mergeCell ref="B120:C120"/>
    <mergeCell ref="B114:C114"/>
    <mergeCell ref="A76:F76"/>
    <mergeCell ref="A77:F77"/>
    <mergeCell ref="A156:A164"/>
    <mergeCell ref="A218:D218"/>
    <mergeCell ref="E218:F218"/>
    <mergeCell ref="B210:F210"/>
    <mergeCell ref="B212:F212"/>
    <mergeCell ref="A216:F216"/>
  </mergeCells>
  <pageMargins left="0.70866141732283472" right="0.11811023622047245" top="0.55118110236220474" bottom="0.15748031496062992" header="0.31496062992125984" footer="0.31496062992125984"/>
  <pageSetup paperSize="9" scale="73" fitToHeight="2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август</vt:lpstr>
      <vt:lpstr>для сайта</vt:lpstr>
      <vt:lpstr>август!Область_печати</vt:lpstr>
      <vt:lpstr>'для сайта'!Область_печати</vt:lpstr>
    </vt:vector>
  </TitlesOfParts>
  <Company>Dnsoft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Tatyana Orlova</cp:lastModifiedBy>
  <cp:lastPrinted>2018-10-25T02:25:38Z</cp:lastPrinted>
  <dcterms:created xsi:type="dcterms:W3CDTF">2009-01-26T06:44:36Z</dcterms:created>
  <dcterms:modified xsi:type="dcterms:W3CDTF">2018-10-26T02:33:08Z</dcterms:modified>
</cp:coreProperties>
</file>