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5" yWindow="2745" windowWidth="14400" windowHeight="9750" firstSheet="2" activeTab="2"/>
  </bookViews>
  <sheets>
    <sheet name="август" sheetId="18" state="hidden" r:id="rId1"/>
    <sheet name="декабрь " sheetId="30" state="hidden" r:id="rId2"/>
    <sheet name="на сайт" sheetId="31" r:id="rId3"/>
  </sheets>
  <definedNames>
    <definedName name="_xlnm.Print_Area" localSheetId="0">август!$A$1:$F$226</definedName>
    <definedName name="_xlnm.Print_Area" localSheetId="1">'декабрь '!$A$1:$F$387</definedName>
    <definedName name="_xlnm.Print_Area" localSheetId="2">'на сайт'!$A$1:$F$341</definedName>
  </definedNames>
  <calcPr calcId="145621"/>
</workbook>
</file>

<file path=xl/calcChain.xml><?xml version="1.0" encoding="utf-8"?>
<calcChain xmlns="http://schemas.openxmlformats.org/spreadsheetml/2006/main">
  <c r="F335" i="31" l="1"/>
  <c r="F334" i="31"/>
  <c r="F333" i="31"/>
  <c r="F332" i="31"/>
  <c r="F331" i="31"/>
  <c r="F329" i="31"/>
  <c r="E328" i="31"/>
  <c r="F328" i="31" s="1"/>
  <c r="F327" i="31"/>
  <c r="F326" i="31"/>
  <c r="F325" i="31"/>
  <c r="E324" i="31"/>
  <c r="F324" i="31" s="1"/>
  <c r="F323" i="31"/>
  <c r="E320" i="31"/>
  <c r="F320" i="31" s="1"/>
  <c r="E319" i="31"/>
  <c r="F319" i="31" s="1"/>
  <c r="F318" i="31"/>
  <c r="F317" i="31"/>
  <c r="F316" i="31"/>
  <c r="E315" i="31"/>
  <c r="F315" i="31" s="1"/>
  <c r="E314" i="31"/>
  <c r="F314" i="31" s="1"/>
  <c r="E313" i="31"/>
  <c r="F313" i="31" s="1"/>
  <c r="F312" i="31"/>
  <c r="F311" i="31"/>
  <c r="F310" i="31"/>
  <c r="F309" i="31"/>
  <c r="E308" i="31"/>
  <c r="F308" i="31" s="1"/>
  <c r="E307" i="31"/>
  <c r="F307" i="31" s="1"/>
  <c r="F306" i="31"/>
  <c r="E306" i="31"/>
  <c r="F305" i="31"/>
  <c r="F304" i="31"/>
  <c r="F303" i="31"/>
  <c r="E302" i="31"/>
  <c r="F302" i="31" s="1"/>
  <c r="E301" i="31"/>
  <c r="F301" i="31" s="1"/>
  <c r="F298" i="31"/>
  <c r="F297" i="31"/>
  <c r="E296" i="31"/>
  <c r="F296" i="31" s="1"/>
  <c r="E295" i="31"/>
  <c r="F295" i="31" s="1"/>
  <c r="F294" i="31"/>
  <c r="E293" i="31"/>
  <c r="F293" i="31" s="1"/>
  <c r="F292" i="31"/>
  <c r="F291" i="31"/>
  <c r="E290" i="31"/>
  <c r="F290" i="31" s="1"/>
  <c r="E289" i="31"/>
  <c r="F289" i="31" s="1"/>
  <c r="F288" i="31"/>
  <c r="E287" i="31"/>
  <c r="F287" i="31" s="1"/>
  <c r="F286" i="31"/>
  <c r="E285" i="31"/>
  <c r="F285" i="31" s="1"/>
  <c r="E284" i="31"/>
  <c r="F284" i="31" s="1"/>
  <c r="E283" i="31"/>
  <c r="F283" i="31" s="1"/>
  <c r="F282" i="31"/>
  <c r="E281" i="31"/>
  <c r="F281" i="31" s="1"/>
  <c r="F280" i="31"/>
  <c r="E279" i="31"/>
  <c r="F279" i="31" s="1"/>
  <c r="E278" i="31"/>
  <c r="F278" i="31" s="1"/>
  <c r="E277" i="31"/>
  <c r="F277" i="31" s="1"/>
  <c r="F276" i="31"/>
  <c r="E275" i="31"/>
  <c r="F275" i="31" s="1"/>
  <c r="E274" i="31"/>
  <c r="F274" i="31" s="1"/>
  <c r="F273" i="31"/>
  <c r="F272" i="31"/>
  <c r="F271" i="31"/>
  <c r="F270" i="31"/>
  <c r="E270" i="31"/>
  <c r="E269" i="31"/>
  <c r="F269" i="31" s="1"/>
  <c r="F268" i="31"/>
  <c r="E267" i="31"/>
  <c r="F267" i="31" s="1"/>
  <c r="F266" i="31"/>
  <c r="F265" i="31"/>
  <c r="E264" i="31"/>
  <c r="F264" i="31" s="1"/>
  <c r="E263" i="31"/>
  <c r="F263" i="31" s="1"/>
  <c r="E262" i="31"/>
  <c r="F262" i="31" s="1"/>
  <c r="E261" i="31"/>
  <c r="F261" i="31" s="1"/>
  <c r="E260" i="31"/>
  <c r="F260" i="31" s="1"/>
  <c r="F259" i="31"/>
  <c r="E258" i="31"/>
  <c r="F258" i="31" s="1"/>
  <c r="E257" i="31"/>
  <c r="F257" i="31" s="1"/>
  <c r="F256" i="31"/>
  <c r="E256" i="31"/>
  <c r="E255" i="31"/>
  <c r="F255" i="31" s="1"/>
  <c r="E254" i="31"/>
  <c r="F254" i="31" s="1"/>
  <c r="E253" i="31"/>
  <c r="F253" i="31" s="1"/>
  <c r="E252" i="31"/>
  <c r="F252" i="31" s="1"/>
  <c r="E251" i="31"/>
  <c r="F251" i="31" s="1"/>
  <c r="F250" i="31"/>
  <c r="E250" i="31"/>
  <c r="E249" i="31"/>
  <c r="F249" i="31" s="1"/>
  <c r="E248" i="31"/>
  <c r="F248" i="31" s="1"/>
  <c r="E247" i="31"/>
  <c r="F247" i="31" s="1"/>
  <c r="E246" i="31"/>
  <c r="F246" i="31" s="1"/>
  <c r="F245" i="31"/>
  <c r="F244" i="31"/>
  <c r="F243" i="31"/>
  <c r="F242" i="31"/>
  <c r="F241" i="31"/>
  <c r="E240" i="31"/>
  <c r="F240" i="31" s="1"/>
  <c r="F239" i="31"/>
  <c r="E238" i="31"/>
  <c r="F238" i="31" s="1"/>
  <c r="E237" i="31"/>
  <c r="F237" i="31" s="1"/>
  <c r="E236" i="31"/>
  <c r="F236" i="31" s="1"/>
  <c r="E235" i="31"/>
  <c r="F235" i="31" s="1"/>
  <c r="F234" i="31"/>
  <c r="F233" i="31"/>
  <c r="E232" i="31"/>
  <c r="F232" i="31" s="1"/>
  <c r="E231" i="31"/>
  <c r="F231" i="31" s="1"/>
  <c r="F230" i="31"/>
  <c r="F229" i="31"/>
  <c r="F228" i="31"/>
  <c r="F227" i="31"/>
  <c r="F226" i="31"/>
  <c r="E225" i="31"/>
  <c r="F225" i="31" s="1"/>
  <c r="E224" i="31"/>
  <c r="F224" i="31" s="1"/>
  <c r="F223" i="31"/>
  <c r="F222" i="31"/>
  <c r="F221" i="31"/>
  <c r="F220" i="31"/>
  <c r="E219" i="31"/>
  <c r="F219" i="31" s="1"/>
  <c r="E218" i="31"/>
  <c r="F218" i="31" s="1"/>
  <c r="E217" i="31"/>
  <c r="F217" i="31" s="1"/>
  <c r="E216" i="31"/>
  <c r="F216" i="31" s="1"/>
  <c r="E215" i="31"/>
  <c r="F215" i="31" s="1"/>
  <c r="E214" i="31"/>
  <c r="F214" i="31" s="1"/>
  <c r="F213" i="31"/>
  <c r="F212" i="31"/>
  <c r="E211" i="31"/>
  <c r="F211" i="31" s="1"/>
  <c r="F210" i="31"/>
  <c r="F209" i="31"/>
  <c r="E208" i="31"/>
  <c r="F208" i="31" s="1"/>
  <c r="F207" i="31"/>
  <c r="E207" i="31"/>
  <c r="E206" i="31"/>
  <c r="F206" i="31" s="1"/>
  <c r="F205" i="31"/>
  <c r="F204" i="31"/>
  <c r="E204" i="31"/>
  <c r="E203" i="31"/>
  <c r="F203" i="31" s="1"/>
  <c r="F202" i="31"/>
  <c r="E202" i="31"/>
  <c r="E201" i="31"/>
  <c r="F201" i="31" s="1"/>
  <c r="F200" i="31"/>
  <c r="F199" i="31"/>
  <c r="F198" i="31"/>
  <c r="E197" i="31"/>
  <c r="F197" i="31" s="1"/>
  <c r="F196" i="31"/>
  <c r="E195" i="31"/>
  <c r="F195" i="31" s="1"/>
  <c r="F194" i="31"/>
  <c r="E194" i="31"/>
  <c r="E193" i="31"/>
  <c r="F193" i="31" s="1"/>
  <c r="F192" i="31"/>
  <c r="F163" i="31"/>
  <c r="F162" i="31"/>
  <c r="F161" i="31"/>
  <c r="D322" i="31" s="1"/>
  <c r="F322" i="31" s="1"/>
  <c r="F160" i="31"/>
  <c r="D321" i="31" s="1"/>
  <c r="F321" i="31" s="1"/>
  <c r="F159" i="31"/>
  <c r="F158" i="31"/>
  <c r="F157" i="31"/>
  <c r="F156" i="31"/>
  <c r="F155" i="31"/>
  <c r="F154" i="31"/>
  <c r="F153" i="31"/>
  <c r="F152" i="31"/>
  <c r="F151" i="31"/>
  <c r="F150" i="31"/>
  <c r="F149" i="31"/>
  <c r="F148" i="31"/>
  <c r="F147" i="31"/>
  <c r="F146" i="31"/>
  <c r="F145" i="31"/>
  <c r="F144" i="31"/>
  <c r="F143" i="31"/>
  <c r="E142" i="31"/>
  <c r="F142" i="31" s="1"/>
  <c r="D300" i="31" s="1"/>
  <c r="F300" i="31" s="1"/>
  <c r="D141" i="31"/>
  <c r="F141" i="31" s="1"/>
  <c r="D299" i="31" s="1"/>
  <c r="F299" i="31" s="1"/>
  <c r="F140" i="31"/>
  <c r="F139" i="31"/>
  <c r="F138" i="31"/>
  <c r="F137" i="31"/>
  <c r="F136" i="31"/>
  <c r="F135" i="31"/>
  <c r="F134" i="31"/>
  <c r="F133" i="31"/>
  <c r="F132" i="31"/>
  <c r="F131" i="31"/>
  <c r="F130" i="31"/>
  <c r="F129" i="31"/>
  <c r="F128" i="31"/>
  <c r="F127" i="31"/>
  <c r="F126" i="31"/>
  <c r="F125" i="31"/>
  <c r="F124" i="31"/>
  <c r="F123" i="31"/>
  <c r="F122" i="31"/>
  <c r="F121" i="31"/>
  <c r="F120" i="31"/>
  <c r="F119" i="31"/>
  <c r="F118" i="31"/>
  <c r="F117" i="31"/>
  <c r="F116" i="31"/>
  <c r="F115" i="31"/>
  <c r="F114" i="31"/>
  <c r="E113" i="31"/>
  <c r="F113" i="31" s="1"/>
  <c r="E112" i="31"/>
  <c r="F112" i="31" s="1"/>
  <c r="F111" i="31"/>
  <c r="F110" i="31"/>
  <c r="E109" i="31"/>
  <c r="F109" i="31" s="1"/>
  <c r="F108" i="31"/>
  <c r="F107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D56" i="31"/>
  <c r="E56" i="31" s="1"/>
  <c r="E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D17" i="31"/>
  <c r="E17" i="31" s="1"/>
  <c r="E75" i="31" l="1"/>
  <c r="E336" i="31"/>
  <c r="E164" i="31"/>
  <c r="E221" i="30"/>
  <c r="D56" i="30" l="1"/>
  <c r="D17" i="30"/>
  <c r="F379" i="30" l="1"/>
  <c r="B384" i="30" l="1"/>
  <c r="E61" i="30"/>
  <c r="E55" i="30"/>
  <c r="E54" i="30"/>
  <c r="E36" i="30"/>
  <c r="E34" i="30"/>
  <c r="E32" i="30"/>
  <c r="E30" i="30"/>
  <c r="E29" i="30"/>
  <c r="E24" i="30"/>
  <c r="E22" i="30"/>
  <c r="E23" i="30"/>
  <c r="E267" i="30" l="1"/>
  <c r="F162" i="30" l="1"/>
  <c r="E278" i="30" l="1"/>
  <c r="E277" i="30"/>
  <c r="E263" i="30"/>
  <c r="E262" i="30"/>
  <c r="E299" i="30"/>
  <c r="E296" i="30"/>
  <c r="E290" i="30"/>
  <c r="E223" i="30"/>
  <c r="F223" i="30" s="1"/>
  <c r="F257" i="30"/>
  <c r="E252" i="30"/>
  <c r="E222" i="30"/>
  <c r="F364" i="30"/>
  <c r="F363" i="30"/>
  <c r="E289" i="30"/>
  <c r="E294" i="30"/>
  <c r="E293" i="30"/>
  <c r="E292" i="30"/>
  <c r="F368" i="30"/>
  <c r="E232" i="30" l="1"/>
  <c r="F370" i="30"/>
  <c r="F338" i="30" l="1"/>
  <c r="E343" i="30"/>
  <c r="F343" i="30" s="1"/>
  <c r="F342" i="30"/>
  <c r="E339" i="30"/>
  <c r="E323" i="30"/>
  <c r="E240" i="30" l="1"/>
  <c r="E239" i="30"/>
  <c r="F377" i="30"/>
  <c r="F227" i="30"/>
  <c r="E300" i="30"/>
  <c r="F367" i="30"/>
  <c r="B359" i="30" l="1"/>
  <c r="E311" i="30"/>
  <c r="E310" i="30"/>
  <c r="E247" i="30"/>
  <c r="E246" i="30"/>
  <c r="E219" i="30"/>
  <c r="F161" i="30"/>
  <c r="D337" i="30" s="1"/>
  <c r="E279" i="30"/>
  <c r="E275" i="30"/>
  <c r="E285" i="30"/>
  <c r="E273" i="30"/>
  <c r="E272" i="30"/>
  <c r="E266" i="30"/>
  <c r="E265" i="30"/>
  <c r="E264" i="30"/>
  <c r="F381" i="30"/>
  <c r="F245" i="30"/>
  <c r="F244" i="30"/>
  <c r="F243" i="30"/>
  <c r="F242" i="30"/>
  <c r="E308" i="30"/>
  <c r="E304" i="30"/>
  <c r="E305" i="30"/>
  <c r="E302" i="30"/>
  <c r="E212" i="30"/>
  <c r="F375" i="30"/>
  <c r="E229" i="30"/>
  <c r="E226" i="30"/>
  <c r="E217" i="30"/>
  <c r="F384" i="30"/>
  <c r="F374" i="30"/>
  <c r="F378" i="30"/>
  <c r="F376" i="30"/>
  <c r="E216" i="30"/>
  <c r="E218" i="30"/>
  <c r="F256" i="30" l="1"/>
  <c r="E255" i="30"/>
  <c r="F307" i="30" l="1"/>
  <c r="E113" i="30"/>
  <c r="E112" i="30"/>
  <c r="E210" i="30" l="1"/>
  <c r="E234" i="30"/>
  <c r="F212" i="30"/>
  <c r="E209" i="30"/>
  <c r="E208" i="30"/>
  <c r="E233" i="30" l="1"/>
  <c r="D141" i="30"/>
  <c r="F141" i="30" s="1"/>
  <c r="D314" i="30" s="1"/>
  <c r="E142" i="30"/>
  <c r="F228" i="30" l="1"/>
  <c r="F112" i="30"/>
  <c r="E231" i="30"/>
  <c r="F114" i="30"/>
  <c r="E109" i="30"/>
  <c r="F110" i="30"/>
  <c r="F225" i="30"/>
  <c r="F366" i="30"/>
  <c r="E328" i="30"/>
  <c r="F341" i="30"/>
  <c r="F143" i="30"/>
  <c r="F274" i="30"/>
  <c r="E276" i="30"/>
  <c r="E271" i="30"/>
  <c r="E270" i="30"/>
  <c r="E269" i="30"/>
  <c r="F133" i="30"/>
  <c r="B363" i="30" l="1"/>
  <c r="H78" i="30"/>
  <c r="H82" i="30" s="1"/>
  <c r="E56" i="30"/>
  <c r="E329" i="30" l="1"/>
  <c r="E330" i="30"/>
  <c r="F325" i="30"/>
  <c r="F324" i="30"/>
  <c r="E335" i="30"/>
  <c r="F332" i="30"/>
  <c r="F323" i="30"/>
  <c r="E322" i="30"/>
  <c r="F322" i="30" s="1"/>
  <c r="E321" i="30"/>
  <c r="F122" i="30"/>
  <c r="F147" i="30"/>
  <c r="F124" i="30"/>
  <c r="E268" i="30"/>
  <c r="E298" i="30"/>
  <c r="E284" i="30" l="1"/>
  <c r="F283" i="30"/>
  <c r="E282" i="30"/>
  <c r="E250" i="30" l="1"/>
  <c r="F254" i="30"/>
  <c r="F255" i="30"/>
  <c r="F232" i="30" l="1"/>
  <c r="E317" i="30" l="1"/>
  <c r="E316" i="30"/>
  <c r="F217" i="30" l="1"/>
  <c r="F226" i="30"/>
  <c r="F229" i="30"/>
  <c r="G362" i="30" l="1"/>
  <c r="F216" i="30"/>
  <c r="E230" i="30"/>
  <c r="B362" i="30" l="1"/>
  <c r="B361" i="30" l="1"/>
  <c r="B360" i="30"/>
  <c r="F152" i="30" l="1"/>
  <c r="F145" i="30"/>
  <c r="F158" i="30"/>
  <c r="F155" i="30"/>
  <c r="F154" i="30"/>
  <c r="F153" i="30"/>
  <c r="F157" i="30"/>
  <c r="F156" i="30" l="1"/>
  <c r="E164" i="30"/>
  <c r="F107" i="30"/>
  <c r="F142" i="30"/>
  <c r="D315" i="30" s="1"/>
  <c r="F138" i="30"/>
  <c r="F137" i="30"/>
  <c r="F140" i="30"/>
  <c r="F135" i="30"/>
  <c r="F136" i="30"/>
  <c r="F139" i="30"/>
  <c r="F144" i="30"/>
  <c r="F146" i="30"/>
  <c r="F148" i="30"/>
  <c r="F150" i="30" l="1"/>
  <c r="F149" i="30"/>
  <c r="F131" i="30"/>
  <c r="F128" i="30"/>
  <c r="F127" i="30"/>
  <c r="F132" i="30"/>
  <c r="F125" i="30"/>
  <c r="F126" i="30"/>
  <c r="F134" i="30"/>
  <c r="F130" i="30"/>
  <c r="F129" i="30"/>
  <c r="F119" i="30"/>
  <c r="F118" i="30"/>
  <c r="F116" i="30"/>
  <c r="F117" i="30"/>
  <c r="F120" i="30"/>
  <c r="F121" i="30"/>
  <c r="F123" i="30"/>
  <c r="F159" i="30"/>
  <c r="F115" i="30"/>
  <c r="F113" i="30"/>
  <c r="F111" i="30"/>
  <c r="F151" i="30"/>
  <c r="F287" i="30" l="1"/>
  <c r="F286" i="30"/>
  <c r="F285" i="30"/>
  <c r="F284" i="30"/>
  <c r="F282" i="30"/>
  <c r="F281" i="30"/>
  <c r="F280" i="30"/>
  <c r="F279" i="30"/>
  <c r="F278" i="30"/>
  <c r="F277" i="30"/>
  <c r="F276" i="30"/>
  <c r="F275" i="30"/>
  <c r="F273" i="30"/>
  <c r="F272" i="30"/>
  <c r="F271" i="30"/>
  <c r="F270" i="30"/>
  <c r="F269" i="30"/>
  <c r="F268" i="30"/>
  <c r="F267" i="30"/>
  <c r="F266" i="30"/>
  <c r="F265" i="30"/>
  <c r="F264" i="30"/>
  <c r="F263" i="30"/>
  <c r="F262" i="30"/>
  <c r="E261" i="30"/>
  <c r="F261" i="30" s="1"/>
  <c r="F260" i="30"/>
  <c r="F259" i="30"/>
  <c r="E74" i="30" l="1"/>
  <c r="E73" i="30"/>
  <c r="E72" i="30"/>
  <c r="E71" i="30"/>
  <c r="E70" i="30"/>
  <c r="E69" i="30"/>
  <c r="E68" i="30"/>
  <c r="E67" i="30"/>
  <c r="E66" i="30"/>
  <c r="E65" i="30"/>
  <c r="E64" i="30"/>
  <c r="E63" i="30"/>
  <c r="E62" i="30"/>
  <c r="E60" i="30"/>
  <c r="E59" i="30"/>
  <c r="E58" i="30"/>
  <c r="E57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5" i="30"/>
  <c r="E33" i="30"/>
  <c r="E31" i="30"/>
  <c r="E28" i="30"/>
  <c r="E27" i="30"/>
  <c r="E26" i="30"/>
  <c r="E25" i="30"/>
  <c r="E21" i="30"/>
  <c r="E20" i="30"/>
  <c r="E19" i="30"/>
  <c r="E18" i="30"/>
  <c r="E17" i="30"/>
  <c r="E75" i="30" l="1"/>
  <c r="B385" i="30" l="1"/>
  <c r="F350" i="30"/>
  <c r="F349" i="30"/>
  <c r="F348" i="30"/>
  <c r="F347" i="30"/>
  <c r="F346" i="30"/>
  <c r="F344" i="30"/>
  <c r="F340" i="30"/>
  <c r="F339" i="30"/>
  <c r="F335" i="30"/>
  <c r="E334" i="30"/>
  <c r="F334" i="30" s="1"/>
  <c r="F333" i="30"/>
  <c r="F331" i="30"/>
  <c r="F330" i="30"/>
  <c r="F329" i="30"/>
  <c r="F328" i="30"/>
  <c r="F327" i="30"/>
  <c r="F326" i="30"/>
  <c r="F321" i="30"/>
  <c r="F320" i="30"/>
  <c r="F319" i="30"/>
  <c r="F318" i="30"/>
  <c r="F317" i="30"/>
  <c r="F316" i="30"/>
  <c r="F315" i="30"/>
  <c r="F314" i="30"/>
  <c r="F313" i="30"/>
  <c r="F312" i="30"/>
  <c r="F311" i="30"/>
  <c r="F310" i="30"/>
  <c r="F309" i="30"/>
  <c r="F308" i="30"/>
  <c r="F306" i="30"/>
  <c r="F305" i="30"/>
  <c r="F304" i="30"/>
  <c r="F303" i="30"/>
  <c r="F302" i="30"/>
  <c r="F301" i="30"/>
  <c r="F300" i="30"/>
  <c r="F299" i="30"/>
  <c r="F298" i="30"/>
  <c r="F297" i="30"/>
  <c r="F296" i="30"/>
  <c r="F295" i="30"/>
  <c r="F294" i="30"/>
  <c r="F293" i="30"/>
  <c r="F292" i="30"/>
  <c r="F291" i="30"/>
  <c r="F290" i="30"/>
  <c r="F289" i="30"/>
  <c r="F288" i="30"/>
  <c r="F258" i="30"/>
  <c r="E253" i="30"/>
  <c r="F253" i="30" s="1"/>
  <c r="F252" i="30"/>
  <c r="E251" i="30"/>
  <c r="F251" i="30" s="1"/>
  <c r="F249" i="30"/>
  <c r="F248" i="30"/>
  <c r="F247" i="30"/>
  <c r="F246" i="30"/>
  <c r="F241" i="30"/>
  <c r="F240" i="30"/>
  <c r="F239" i="30"/>
  <c r="F238" i="30"/>
  <c r="F237" i="30"/>
  <c r="F236" i="30"/>
  <c r="F235" i="30"/>
  <c r="F234" i="30"/>
  <c r="F233" i="30"/>
  <c r="F231" i="30"/>
  <c r="F230" i="30"/>
  <c r="F224" i="30"/>
  <c r="F222" i="30"/>
  <c r="F221" i="30"/>
  <c r="F220" i="30"/>
  <c r="F219" i="30"/>
  <c r="F218" i="30"/>
  <c r="F215" i="30"/>
  <c r="F214" i="30"/>
  <c r="F213" i="30"/>
  <c r="F211" i="30"/>
  <c r="F210" i="30"/>
  <c r="F209" i="30"/>
  <c r="F208" i="30"/>
  <c r="F207" i="30"/>
  <c r="F358" i="30"/>
  <c r="F163" i="30"/>
  <c r="F337" i="30" s="1"/>
  <c r="F160" i="30"/>
  <c r="D336" i="30" s="1"/>
  <c r="F336" i="30" s="1"/>
  <c r="F109" i="30"/>
  <c r="F108" i="30"/>
  <c r="E351" i="30" l="1"/>
  <c r="H362" i="30" s="1"/>
  <c r="F385" i="30"/>
  <c r="G385" i="30" s="1"/>
  <c r="G357" i="30"/>
  <c r="F250" i="30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<sst xmlns="http://schemas.openxmlformats.org/spreadsheetml/2006/main" count="1150" uniqueCount="635">
  <si>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</si>
  <si>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</si>
  <si>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</si>
  <si>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</si>
  <si>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</si>
  <si>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</si>
  <si>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</si>
  <si>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</si>
  <si>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</si>
  <si>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</si>
  <si>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</si>
  <si>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</si>
  <si>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</si>
  <si>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</si>
  <si>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</si>
  <si>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</si>
  <si>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</si>
  <si>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</si>
  <si>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</si>
  <si>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</si>
  <si>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</si>
  <si>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</si>
  <si>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</si>
  <si>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</si>
  <si>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</si>
  <si>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</si>
  <si>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</si>
  <si>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</si>
  <si>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</si>
  <si>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</si>
  <si>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</si>
  <si>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</si>
  <si>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</si>
  <si>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</si>
  <si>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</si>
  <si>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</si>
  <si>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</si>
  <si>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</si>
  <si>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</si>
  <si>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</si>
  <si>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</si>
  <si>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</si>
  <si>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</si>
  <si>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</si>
  <si>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</si>
  <si>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</si>
  <si>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</si>
  <si>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</si>
  <si>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</si>
  <si>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</si>
  <si>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</si>
  <si>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</si>
  <si>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</si>
  <si>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</si>
  <si>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</si>
  <si>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</si>
  <si>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</si>
  <si>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</si>
  <si>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</si>
  <si>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</si>
  <si>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</si>
  <si>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</si>
  <si>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</si>
  <si>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</si>
  <si>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</si>
  <si>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</si>
  <si>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</si>
  <si>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</si>
  <si>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</si>
  <si>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</si>
  <si>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</si>
  <si>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</si>
  <si>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</si>
  <si>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</si>
  <si>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</si>
  <si>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</si>
  <si>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</si>
  <si>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</si>
  <si>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</si>
  <si>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</si>
  <si>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</si>
  <si>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</si>
  <si>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</si>
  <si>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</si>
  <si>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</si>
  <si>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</si>
  <si>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</si>
  <si>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</si>
  <si>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</si>
  <si>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</si>
  <si>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</si>
  <si>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</si>
  <si>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</si>
  <si>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</si>
  <si>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</si>
  <si>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</si>
  <si>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</si>
  <si>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</si>
  <si>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</si>
  <si>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</si>
  <si>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</si>
  <si>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</si>
  <si>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</si>
  <si>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</si>
  <si>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</si>
  <si>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</si>
  <si>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</si>
  <si>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</si>
  <si>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</si>
  <si>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</si>
  <si>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</si>
  <si>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</si>
  <si>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</si>
  <si>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</si>
  <si>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</si>
  <si>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</si>
  <si>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</si>
  <si>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</si>
  <si>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</si>
  <si>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</si>
  <si>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</si>
  <si>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</si>
  <si>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</si>
  <si>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</si>
  <si>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</si>
  <si>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</si>
  <si>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</si>
  <si>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</si>
  <si>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</si>
  <si>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</si>
  <si>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</si>
  <si>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</si>
  <si>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</si>
  <si>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</si>
  <si>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</si>
  <si>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</si>
  <si>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</si>
  <si>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</si>
  <si>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</si>
  <si>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</si>
  <si>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</si>
  <si>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</si>
  <si>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</si>
  <si>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</si>
  <si>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</si>
  <si>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</si>
  <si>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</si>
  <si>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</si>
  <si>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</si>
  <si>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</si>
  <si>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</si>
  <si>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</si>
  <si>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</si>
  <si>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</si>
  <si>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</si>
  <si>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</si>
  <si>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</si>
  <si>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</si>
  <si>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</si>
  <si>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</si>
  <si>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</si>
  <si>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</si>
  <si>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</si>
  <si>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</si>
  <si>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</si>
  <si>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</si>
  <si>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</si>
  <si>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</si>
  <si>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</si>
  <si>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</si>
  <si>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</si>
  <si>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</si>
  <si>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</si>
  <si>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</si>
  <si>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</si>
  <si>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</si>
  <si>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</si>
  <si>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</si>
  <si>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</si>
  <si>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</si>
  <si>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</si>
  <si>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</si>
  <si>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</si>
  <si>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</si>
  <si>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</si>
  <si>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</si>
  <si>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</si>
  <si>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</si>
  <si>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</si>
  <si>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</si>
  <si>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</si>
  <si>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</si>
  <si>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</si>
  <si>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</si>
  <si>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</si>
  <si>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</si>
  <si>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</si>
  <si>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</si>
  <si>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</si>
  <si>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</si>
  <si>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</si>
  <si>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</si>
  <si>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</si>
  <si>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</si>
  <si>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</si>
  <si>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</si>
  <si>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</si>
  <si>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</si>
  <si>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</si>
  <si>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</si>
  <si>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</si>
  <si>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</si>
  <si>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</si>
  <si>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</si>
  <si>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</si>
  <si>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</si>
  <si>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</si>
  <si>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</si>
  <si>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</si>
  <si>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</si>
  <si>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</si>
  <si>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</si>
  <si>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</si>
  <si>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</si>
  <si>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</si>
  <si>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</si>
  <si>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</si>
  <si>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</si>
  <si>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</si>
  <si>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</si>
  <si>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</si>
  <si>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</si>
  <si>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</si>
  <si>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</si>
  <si>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</si>
  <si>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</si>
  <si>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</si>
  <si>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</si>
  <si>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</si>
  <si>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</si>
  <si>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</si>
  <si>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</si>
  <si>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</si>
  <si>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</si>
  <si>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</si>
  <si>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</si>
  <si>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</si>
  <si>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t>к  решению  «О внесении изменений в решение  Совета народных депутатов  Анжеро-Судженского городского округа от 21.12.2017  № 95 «О  бюджете  муниципального образования «Анжеро-Судженский городской округ» на 2018 год  и плановый период  2019 и 2020 годов»</t>
  </si>
  <si>
    <t>1. Изменения по доходам вносятся на 2018 год:</t>
  </si>
  <si>
    <t>План на 2018 год</t>
  </si>
  <si>
    <t>Налоговые неналоговые доходы</t>
  </si>
  <si>
    <t>Единый налог на вмененный доход для отдельных видов деятельности</t>
  </si>
  <si>
    <t>итого</t>
  </si>
  <si>
    <t>(тыс.руб.)</t>
  </si>
  <si>
    <t>(тыс. руб)</t>
  </si>
  <si>
    <t xml:space="preserve"> 1.2. Изменения по доходам вносятся на 2019 год:</t>
  </si>
  <si>
    <t xml:space="preserve"> 1.3. Изменения по доходам вносятся на 2020 год:</t>
  </si>
  <si>
    <t xml:space="preserve"> 1.2.1. субсидии увеличиваются  на   тыс.руб</t>
  </si>
  <si>
    <t xml:space="preserve">  1.3.1.субсидии увеличиваются  на   тыс.руб</t>
  </si>
  <si>
    <t>911 0703 05 1 00 11231 600</t>
  </si>
  <si>
    <t>911 0702 05 1 00 12221 200</t>
  </si>
  <si>
    <t>911 0709 05 3 00 11521 600</t>
  </si>
  <si>
    <t>911 0709 05 3 00 11351 600</t>
  </si>
  <si>
    <t>911 0709 05 3 00 11521 200</t>
  </si>
  <si>
    <t>913 0801 06 0 00 11402 600</t>
  </si>
  <si>
    <t xml:space="preserve">По Управлению образования: </t>
  </si>
  <si>
    <t>Субсидии, субвенции, дотация</t>
  </si>
  <si>
    <t>913 0801 04 4 00 12201 200</t>
  </si>
  <si>
    <t>СНД</t>
  </si>
  <si>
    <t>формулы
 доходы</t>
  </si>
  <si>
    <t>919 0409 112 00 11111 600</t>
  </si>
  <si>
    <t>919 0409 111 00 11121 600</t>
  </si>
  <si>
    <t>919 0503 114 00 11141 600</t>
  </si>
  <si>
    <t>КФСиТ</t>
  </si>
  <si>
    <t>904 1105 090 00 11042 200</t>
  </si>
  <si>
    <t>911 0701 051 00 11202 800</t>
  </si>
  <si>
    <t>911 0701 051 00 11202 200</t>
  </si>
  <si>
    <t>911 0701 051 00 11202 600</t>
  </si>
  <si>
    <t>911 0702 051 00 11211 600</t>
  </si>
  <si>
    <t>919 0501 045 00 12202 800</t>
  </si>
  <si>
    <t>КСП</t>
  </si>
  <si>
    <t>906 0106 99 0 00 24001 100</t>
  </si>
  <si>
    <t>900 0111 015 00 13071 800</t>
  </si>
  <si>
    <t>900 0102 011 00 11011 100</t>
  </si>
  <si>
    <t>900 0104 011 00 11021 200</t>
  </si>
  <si>
    <t>919 0505 116 00 11902 600</t>
  </si>
  <si>
    <t>904 0703 051 00 15231 600</t>
  </si>
  <si>
    <t>904 1101 090 00 15232 600</t>
  </si>
  <si>
    <t xml:space="preserve"> 1.1.1. дотации   увеличиваются  на                тыс. руб;</t>
  </si>
  <si>
    <t xml:space="preserve">                                                               2019 год  тыс.руб.</t>
  </si>
  <si>
    <t xml:space="preserve">                                                               2020 год  тыс.руб.</t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</si>
  <si>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</si>
  <si>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900 0104 011 00 11021 100</t>
  </si>
  <si>
    <t>900 0501 044 00 12201 400</t>
  </si>
  <si>
    <t>913 0703 051 00 11231 600</t>
  </si>
  <si>
    <t>1.1. Вносятся изменения в план по доходам налоговых и  неналоговых платежей на 2018 год:</t>
  </si>
  <si>
    <t>911 0709 05 1 00 13011 600</t>
  </si>
  <si>
    <t>913 0801 04 4 00 12201 400</t>
  </si>
  <si>
    <t>913 0801 06 0 00 13421 600</t>
  </si>
  <si>
    <t>913 0801 06 0 00 12411 600</t>
  </si>
  <si>
    <t>913 0804 06 0 00 14521 200</t>
  </si>
  <si>
    <t>913 0804 06 0 00 14041 200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</si>
  <si>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 </t>
    </r>
  </si>
  <si>
    <t>915 1006 084 00 70280 100</t>
  </si>
  <si>
    <t>919 0113 015 00 17001 200</t>
  </si>
  <si>
    <t>900 0113 015 00 17001 800</t>
  </si>
  <si>
    <t>900 0113 015 00 16131 200</t>
  </si>
  <si>
    <t>900 0113 015 00 16131 800</t>
  </si>
  <si>
    <t>900 0113 015 00 16131 300</t>
  </si>
  <si>
    <t>907 0113 015 00 16131 200</t>
  </si>
  <si>
    <t>907 0113 015 00 16131 300</t>
  </si>
  <si>
    <t>919 0113 015 00 16131 300</t>
  </si>
  <si>
    <t>911 0113 015 00 16131 300</t>
  </si>
  <si>
    <t>911 0113 015 00 16131 600</t>
  </si>
  <si>
    <t>913 0113 015 00 16131 200</t>
  </si>
  <si>
    <t>915 0113 015 00 16131 200</t>
  </si>
  <si>
    <t>915 0113 015 00 16131 300</t>
  </si>
  <si>
    <t>905 0412 020 00 12001 200</t>
  </si>
  <si>
    <t>905 0113 020 00 16001 200</t>
  </si>
  <si>
    <t>911 0709 05 1 00 18221 100</t>
  </si>
  <si>
    <t>911 0709 05 1 00 18221 600</t>
  </si>
  <si>
    <t>911 0709 05 3 00 11521 100</t>
  </si>
  <si>
    <t>911 0709 05 3 00 11521 800</t>
  </si>
  <si>
    <t>911 0709 051 00 71940 200</t>
  </si>
  <si>
    <t>911 0709 051 00 71940 600</t>
  </si>
  <si>
    <t>2019г</t>
  </si>
  <si>
    <t>919 0502 101 00 11301 200</t>
  </si>
  <si>
    <t>919 0502 101 00 13301 200</t>
  </si>
  <si>
    <t>919 0502 101 00 15301 200</t>
  </si>
  <si>
    <t>919 0502 101 00 18301 200</t>
  </si>
  <si>
    <t>905 0113 020 00 14001 200</t>
  </si>
  <si>
    <t>905 0113 020 00 13001 200</t>
  </si>
  <si>
    <t>905 0113 020 00 17002 200</t>
  </si>
  <si>
    <t>905 0113 020 00 19001 200</t>
  </si>
  <si>
    <t>900 0501 043 00 14151 200</t>
  </si>
  <si>
    <t>Культура финпомощь</t>
  </si>
  <si>
    <t>900 0104 015 00 71960 100</t>
  </si>
  <si>
    <t>900 0104 015 00 71960 200</t>
  </si>
  <si>
    <t>900 0113 015 00 94041 300</t>
  </si>
  <si>
    <t>Почетные граждане</t>
  </si>
  <si>
    <t>919 0402 103 00 14101 800</t>
  </si>
  <si>
    <t>919 0502 103 00 11203 800</t>
  </si>
  <si>
    <t>919 0502 103 00 12402 800</t>
  </si>
  <si>
    <t>919 0503 115 00 11152 600</t>
  </si>
  <si>
    <t>919 0503 118 00 11182 600</t>
  </si>
  <si>
    <t>904 0709 051 00 15521 600</t>
  </si>
  <si>
    <t>904 1101 090 00 11013 600</t>
  </si>
  <si>
    <t>904 1101 044 00 12201 400</t>
  </si>
  <si>
    <t>904 1101 032 00 11701 600</t>
  </si>
  <si>
    <t>904 0703 032 00 11701 600</t>
  </si>
  <si>
    <t>КФсиТ</t>
  </si>
  <si>
    <t>900 0707 051 00 16071 200</t>
  </si>
  <si>
    <t>900 0707 051 00 16071 300</t>
  </si>
  <si>
    <t>904 1105 090 00 11042 100</t>
  </si>
  <si>
    <t>906 0106 99 0 00 24001 200</t>
  </si>
  <si>
    <t>906 0106 99 0 00 24001 800</t>
  </si>
  <si>
    <t>905 0412 020 00 11001 200</t>
  </si>
  <si>
    <t>913 0804 06 0 00 14041 100</t>
  </si>
  <si>
    <t>913 0804 06 0 00 14041 800</t>
  </si>
  <si>
    <t>913 0804 06 0 00 14521 100</t>
  </si>
  <si>
    <t>Молодые семьи</t>
  </si>
  <si>
    <t>900 1003 042 00 L4970 300</t>
  </si>
  <si>
    <t>915 1001 082 00 91001 200</t>
  </si>
  <si>
    <t>915 1001 082 00 91001 300</t>
  </si>
  <si>
    <t>900 1301 120 00 11004 700</t>
  </si>
  <si>
    <t>Пенсии</t>
  </si>
  <si>
    <t>Проценты по кредиту</t>
  </si>
  <si>
    <t>919 0503 150 00 L5550 200</t>
  </si>
  <si>
    <t>919 0503 150 00 L5550 600</t>
  </si>
  <si>
    <t>Городская среда</t>
  </si>
  <si>
    <t>900 0104 011 00 11021 800</t>
  </si>
  <si>
    <t>900 0104 011 00 11031 100</t>
  </si>
  <si>
    <t xml:space="preserve">Культура </t>
  </si>
  <si>
    <t>911 0702 051 00 12051 200</t>
  </si>
  <si>
    <t xml:space="preserve"> - для оплаты прочих расходов по КДН в сумме 1,7 т.р.;</t>
  </si>
  <si>
    <t>911 0709 053 00 72070 100</t>
  </si>
  <si>
    <t>911 0709 053 00 72070 200</t>
  </si>
  <si>
    <t>900 0309 031 00 11002 200</t>
  </si>
  <si>
    <t>900 0309 031 00 11002 800</t>
  </si>
  <si>
    <t>900 0113 033 00 11151 100</t>
  </si>
  <si>
    <t>ОООП</t>
  </si>
  <si>
    <t>915 1003 086 00 80100 200</t>
  </si>
  <si>
    <r>
      <t xml:space="preserve">По Отделу молодежи:
</t>
    </r>
    <r>
      <rPr>
        <sz val="14"/>
        <rFont val="Times New Roman"/>
        <family val="1"/>
        <charset val="204"/>
      </rPr>
      <t>- для проведения мероприятий в сумме 11,5 т.р.</t>
    </r>
  </si>
  <si>
    <r>
      <rPr>
        <b/>
        <sz val="14"/>
        <rFont val="Times New Roman"/>
        <family val="1"/>
        <charset val="204"/>
      </rPr>
      <t>По ГО и ЧС:</t>
    </r>
    <r>
      <rPr>
        <sz val="14"/>
        <rFont val="Times New Roman"/>
        <family val="1"/>
        <charset val="204"/>
      </rPr>
      <t xml:space="preserve">
 - для приобретения оргтехники в сумме 1,1 т.р.;</t>
    </r>
  </si>
  <si>
    <r>
      <rPr>
        <b/>
        <sz val="14"/>
        <rFont val="Times New Roman"/>
        <family val="1"/>
        <charset val="204"/>
      </rPr>
      <t>По КСП:</t>
    </r>
    <r>
      <rPr>
        <sz val="14"/>
        <rFont val="Times New Roman"/>
        <family val="1"/>
        <charset val="204"/>
      </rPr>
      <t xml:space="preserve">
- для оплаты МФУ в сумме 24,4 т.р.;</t>
    </r>
  </si>
  <si>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- для строительства снежного городка в п.Рудничный на 50,0 т.р. за счет финансовой помощи от "Кузнецких ферросплавов" ;</t>
    </r>
  </si>
  <si>
    <r>
      <t xml:space="preserve">По УЖКХ:
</t>
    </r>
    <r>
      <rPr>
        <sz val="14"/>
        <rFont val="Times New Roman"/>
        <family val="1"/>
        <charset val="204"/>
      </rPr>
      <t xml:space="preserve"> - на поддержку государственной программы Кемеровской области и муниципальных программ формирования современной городской среды на 468,8 т.р.;</t>
    </r>
  </si>
  <si>
    <t>Факт на 01.12.2018</t>
  </si>
  <si>
    <t>Земельный налог с организаций, обладающих земельным участком, расположенным в границах 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</si>
  <si>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</si>
  <si>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Источники финансирования</t>
  </si>
  <si>
    <t xml:space="preserve"> -для оплаты за участие в конкурсе, запчастей, компенсации до 3-х лет, пеней, исполнительных листов в сумме 243,2 т.р.;</t>
  </si>
  <si>
    <r>
      <rPr>
        <b/>
        <sz val="14"/>
        <rFont val="Times New Roman"/>
        <family val="1"/>
        <charset val="204"/>
      </rPr>
      <t>По ОООП:</t>
    </r>
    <r>
      <rPr>
        <sz val="14"/>
        <rFont val="Times New Roman"/>
        <family val="1"/>
        <charset val="204"/>
      </rPr>
      <t xml:space="preserve">
 - начисления на оплату труда на 97,0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</si>
  <si>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 - по выплате пенсии за выслугу лет на 47,1 т.р.;</t>
    </r>
  </si>
  <si>
    <t>911 0701 051 00 11202 100</t>
  </si>
  <si>
    <t>919 0502 103 00 11302 800</t>
  </si>
  <si>
    <t>911 0702 051 00 71820 100</t>
  </si>
  <si>
    <t>911 0702 05 1 00 12221 800</t>
  </si>
  <si>
    <t>911 0709 051 00 12021 600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</si>
  <si>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</si>
  <si>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</si>
  <si>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</si>
  <si>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</si>
  <si>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</si>
  <si>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9792  (по факту поступления на 01.12.2018г)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</si>
  <si>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</si>
  <si>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</si>
  <si>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</si>
  <si>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в связи с применением патентной системы налогообложения, зачисляемый в бюджеты городских округов</t>
  </si>
  <si>
    <t>Транспортный налог с организаций</t>
  </si>
  <si>
    <t>Государственная пошлина по делам, рассматриваемым в судах общей юрисдикции, мировыми судьями ( за исключением Верховного Суда РФ)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</si>
  <si>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</si>
  <si>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</si>
  <si>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</si>
  <si>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</si>
  <si>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</si>
  <si>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</si>
  <si>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</si>
  <si>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</si>
  <si>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</si>
  <si>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</si>
  <si>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Плата за выбросы загрязняющих веществ в водные объекты</t>
  </si>
  <si>
    <t>Плата за размещение отходов производств</t>
  </si>
  <si>
    <t xml:space="preserve">Плата за размещение твердых коммунальных отходов </t>
  </si>
  <si>
    <t>Прочие доходы от оказания платных услуг (работ) получателями средств бюджетов городских округов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</si>
  <si>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</si>
  <si>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</si>
  <si>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квартир, находящихся в собственности городских округов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</si>
  <si>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</si>
  <si>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</si>
  <si>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2"/>
        <rFont val="Times"/>
        <family val="1"/>
      </rPr>
      <t>1</t>
    </r>
    <r>
      <rPr>
        <sz val="12"/>
        <rFont val="Times"/>
        <family val="1"/>
      </rPr>
      <t>, п. 1 и 2 ст. 120, ст.125, 126, 128, 129, 129</t>
    </r>
    <r>
      <rPr>
        <vertAlign val="superscript"/>
        <sz val="12"/>
        <rFont val="Times"/>
        <family val="1"/>
      </rPr>
      <t>1</t>
    </r>
    <r>
      <rPr>
        <sz val="12"/>
        <rFont val="Times"/>
        <family val="1"/>
      </rPr>
      <t>, 132, 133, 134, 135, 135</t>
    </r>
    <r>
      <rPr>
        <vertAlign val="superscript"/>
        <sz val="12"/>
        <rFont val="Times"/>
        <family val="1"/>
      </rPr>
      <t>1</t>
    </r>
    <r>
      <rPr>
        <sz val="12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</si>
  <si>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t>10,0 (по факту на 01.12.2018г)</t>
  </si>
  <si>
    <t>Денежные взыскания(штрафы) за нарушение законодательства в области окружающей среды</t>
  </si>
  <si>
    <t>202,0 (по факту на 01.12.2018г)</t>
  </si>
  <si>
    <t>Денежные взыскания (штрафы) за нарушение земельного законодательства</t>
  </si>
  <si>
    <t>84,0 (по факту на 01.12.2018г)</t>
  </si>
  <si>
    <t>Денежные взыскания (штрафы) за нарушения законодательства в области обеспечения санитарно-эпидимиологического благополучия человека и законодательства в сфере защиты прав потребителей</t>
  </si>
  <si>
    <t>Денежные взыскания(штрафы)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</si>
  <si>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Прочие денежные взыскания (штрафы) за правонарушения в области дорожного движения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</si>
  <si>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</si>
  <si>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</si>
  <si>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2"/>
        <rFont val="Arial"/>
        <family val="2"/>
        <charset val="204"/>
      </rPr>
      <t>1</t>
    </r>
    <r>
      <rPr>
        <i/>
        <sz val="12"/>
        <rFont val="Arial"/>
        <family val="2"/>
        <charset val="204"/>
      </rPr>
      <t xml:space="preserve"> и 228 НК РФ</t>
    </r>
  </si>
  <si>
    <t>915 1003 086 00 51370 300</t>
  </si>
  <si>
    <t>915 1004 086 00 52700 300</t>
  </si>
  <si>
    <t>915 1003 086 00 52500 300</t>
  </si>
  <si>
    <t>915 1003 086 00 52800 300</t>
  </si>
  <si>
    <t>915 1003 086 00 70010 200</t>
  </si>
  <si>
    <t>915 1003 086 00 70010 300</t>
  </si>
  <si>
    <t xml:space="preserve"> - на 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 на 2337,0 т.р.;
 - на 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 на 367,1 т.р.;
 - на 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 на 185,0 т.р.</t>
  </si>
  <si>
    <t>915 1003 086 00 70020 200</t>
  </si>
  <si>
    <t>915 1003 086 00 70020 300</t>
  </si>
  <si>
    <t>915 1003 086 00 70030 200</t>
  </si>
  <si>
    <t>915 1003 086 00 70030 300</t>
  </si>
  <si>
    <t>915 1003 086 00 70090 200</t>
  </si>
  <si>
    <t>915 1003 086 00 70090 300</t>
  </si>
  <si>
    <t xml:space="preserve"> - на обеспечение мер социальной поддержки реабилитированных лиц и лиц, признанных пострадавшими от политических репрессий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 на 577,0 т.р.;
 - на предоставление гражданам субсидий на оплату жилого помещения и коммунальных услуг на 2274,0 т.р.;
 - на дополнительную меру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 на 727,0 т.р.;
 - на 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 на 36,0 т.р.;</t>
  </si>
  <si>
    <t>915 1003 086 00 70060 300</t>
  </si>
  <si>
    <t>915 1003 086 00 70070 300</t>
  </si>
  <si>
    <t>915 1003 086 00 80040 300</t>
  </si>
  <si>
    <t>915 1004 086 00 80050 300</t>
  </si>
  <si>
    <t xml:space="preserve"> - на 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 на 6,3 т.р.;
 - на 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 на 407,0 т.р.;
 - на пособие на ребенка в соответствии с Законом Кемеровской области от 18 ноября 2004 года № 75-ОЗ "О размере, порядке назначения и выплаты пособия на ребенка" на 474,2 т.р.;
 - на 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 на 139,9 т.р.;</t>
  </si>
  <si>
    <t>915 1003 086 00 70080 200</t>
  </si>
  <si>
    <t>915 1003 086 00 70080 300</t>
  </si>
  <si>
    <t>915 1003 086 00 70100 300</t>
  </si>
  <si>
    <t>915 1004 086 00 R0840 300</t>
  </si>
  <si>
    <t>915 1004 086 00 70840 200</t>
  </si>
  <si>
    <t>915 1003 086 00 80090 200</t>
  </si>
  <si>
    <t>915 1003 086 00 80090 300</t>
  </si>
  <si>
    <t xml:space="preserve"> - на 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 на 1,2 тр.;
 - на ежемесячную денежную выплату, назначаемую в случае рождения третьего ребенка или последующих детей, до достижения ребенком возраста трех лет на 7124,0 т.р.;
 - на денежную выплату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 на 45,4 т.р.;
 - на социальную поддержку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 на 14,5 т.р.;</t>
  </si>
  <si>
    <t>915 1003 086 00 80070 200</t>
  </si>
  <si>
    <t>915 1003 086 00 80070 300</t>
  </si>
  <si>
    <t>915 1003 086 00 80110 300</t>
  </si>
  <si>
    <t>915 1003 086 00 80080 200</t>
  </si>
  <si>
    <t>915 1003 086 00 80080 300</t>
  </si>
  <si>
    <t xml:space="preserve"> - на выплату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"О погребении и похоронном деле в Кемеровской области" на 169,0 т.р.;
 - на государственную социальную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 на 166,8 т.р.;
 - на 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 на 23,0 т.р.;</t>
  </si>
  <si>
    <t>915 1002 086 00 70190 100</t>
  </si>
  <si>
    <r>
      <rPr>
        <b/>
        <sz val="14"/>
        <rFont val="Times New Roman"/>
        <family val="1"/>
        <charset val="204"/>
      </rPr>
      <t xml:space="preserve">По Управлению образования:
 - </t>
    </r>
    <r>
      <rPr>
        <sz val="14"/>
        <rFont val="Times New Roman"/>
        <family val="1"/>
        <charset val="204"/>
      </rPr>
      <t>на 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 на 1054,9 т.р.;
 - на компенсацию части платы за присмотр и уход, взимаемой с родителей (законных представителей) детей, осваивающих образовательные программы дошкольного образования на 205,0 т.р.;
 - на 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 на 64,0 т.р.;</t>
    </r>
  </si>
  <si>
    <t xml:space="preserve"> - на 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жилья и (или) коммунальных услуг" на 1268,0 т.р.;
 - на выполнение полномочий Российской Федерации по осуществлению ежемесячной выплаты в связи с рождением (усыновлением) первого ребенка на 287,9 т.р.;</t>
  </si>
  <si>
    <t>915 1004 086 00 55730 300</t>
  </si>
  <si>
    <r>
      <rPr>
        <b/>
        <sz val="14"/>
        <rFont val="Times New Roman"/>
        <family val="1"/>
        <charset val="204"/>
      </rPr>
      <t xml:space="preserve">По администрации:
</t>
    </r>
    <r>
      <rPr>
        <sz val="14"/>
        <rFont val="Times New Roman"/>
        <family val="1"/>
        <charset val="204"/>
      </rPr>
      <t xml:space="preserve"> - на реализацию программ местного развития и обеспечение занятости для шахтерских городов и поселков на 2693,5 т.р.;</t>
    </r>
  </si>
  <si>
    <t>900 1003 043 00 51560 300</t>
  </si>
  <si>
    <t xml:space="preserve"> 1.1.3. иные межбюджетные трансферты увеличиваются на   2693,5 тыс. руб</t>
  </si>
  <si>
    <t>ГО и ЧС</t>
  </si>
  <si>
    <t>Резервный фонд</t>
  </si>
  <si>
    <t>900 0309 031 00 11002 100</t>
  </si>
  <si>
    <t>900 0113 130 00 11171 600</t>
  </si>
  <si>
    <t>МФЦ</t>
  </si>
  <si>
    <t>900 0113 014 00 11401 600</t>
  </si>
  <si>
    <t>Архив</t>
  </si>
  <si>
    <r>
      <rPr>
        <b/>
        <sz val="14"/>
        <rFont val="Times New Roman"/>
        <family val="1"/>
        <charset val="204"/>
      </rPr>
      <t xml:space="preserve">По УСЗН:
 </t>
    </r>
    <r>
      <rPr>
        <sz val="14"/>
        <rFont val="Times New Roman"/>
        <family val="1"/>
        <charset val="204"/>
      </rPr>
      <t xml:space="preserve"> - для оплаты за содержание УСЗН в сумме 70,4 т.р.;
 - для оплаты командировки в сумме 28,3 т.р.;
 - для выплат по областным субвенциям с доставки  в сумме 2,5 т.р.;</t>
    </r>
  </si>
  <si>
    <t>900 0501 044 00 12201 200</t>
  </si>
  <si>
    <r>
      <t xml:space="preserve">По КУМИ:
</t>
    </r>
    <r>
      <rPr>
        <sz val="14"/>
        <rFont val="Times New Roman"/>
        <family val="1"/>
        <charset val="204"/>
      </rPr>
      <t>- для оплаты электроэнергии, тепло и водоснабжение за очистные Рудник в сумме 1520,0 т.р.;
 - для оплаты услуг МП "Гис-центр", БТИ, "Наш город", канцтовары в сумме 385,0 т.р.;</t>
    </r>
  </si>
  <si>
    <t>905 0113 020 00 18001 200</t>
  </si>
  <si>
    <t>905 0113 020 00 18001 800</t>
  </si>
  <si>
    <t>911 0709 05 1 00 18221 200</t>
  </si>
  <si>
    <r>
      <rPr>
        <b/>
        <sz val="14"/>
        <rFont val="Times New Roman"/>
        <family val="1"/>
        <charset val="204"/>
      </rPr>
      <t>По администрации: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по муниципальной программе "Обеспечение доступным и комфортным жильем и коммунальными услугами. Строительство." для оплаты сноса здания котельной №15 в сумме 238,0 т.р., межевание территории в сумме 44,7 т.р, инженерные изыскания по жилому дому № 63 в сумме 103,0 т.р.; 
 - для оплаты командировок, начислений по оплате труда в сумме 31,4 т.р.;
 - для оплаты охраны, сопровождения сайта, консультант, приобретение тепловой завесы в сумме 381,4т.р.;
 - для возмещения налогов за здание РКЦ в сумме 28,9 т.р.;</t>
    </r>
  </si>
  <si>
    <t>915 1003 086 00 70060 200</t>
  </si>
  <si>
    <t xml:space="preserve"> -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 на 23,0 т.р.;</t>
  </si>
  <si>
    <t>915 1004 086 00 53800 200</t>
  </si>
  <si>
    <t>915 1003 086 00 70050 200</t>
  </si>
  <si>
    <t>919 0409 111 00 S2690 600</t>
  </si>
  <si>
    <t>919 0502 101 00 S2470 200</t>
  </si>
  <si>
    <t>915 1003 086 00 80040 200</t>
  </si>
  <si>
    <t xml:space="preserve"> - за счет средств от предпринимательской и иной приносящей доход деятельности в сумме 7,9 т.р.;
 - для установки видеодомофонов на образовательные учреждения, насоса для котла д/с №12, приобретения двухкамерного счетчика, начислений по ФОТ в сумме 652,8 т.р.;</t>
  </si>
  <si>
    <t>911 0709 053 00 11041 100</t>
  </si>
  <si>
    <r>
      <rPr>
        <b/>
        <sz val="14"/>
        <rFont val="Times New Roman"/>
        <family val="1"/>
        <charset val="204"/>
      </rPr>
      <t>По архиву:</t>
    </r>
    <r>
      <rPr>
        <sz val="14"/>
        <rFont val="Times New Roman"/>
        <family val="1"/>
        <charset val="204"/>
      </rPr>
      <t xml:space="preserve">
 - коммунальные расходы, прочие расходы на 40,9 т.р.;</t>
    </r>
  </si>
  <si>
    <t>915 1003 086 00 80110 200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</si>
  <si>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для оплаты за кап ремонт муниципальных сетей и муниципального жилого фонда на 629,9 т.р.;
 - для оплаты за содержание общежитий на 244,2 т.р.;</t>
    </r>
  </si>
  <si>
    <t>919 1006 081 00 14401 300</t>
  </si>
  <si>
    <t>919 0505 104 00 11043 100</t>
  </si>
  <si>
    <t>919 0505 104 00 11043 200</t>
  </si>
  <si>
    <t xml:space="preserve">УЖКХ </t>
  </si>
  <si>
    <t>900 0113 032 00 11701 600</t>
  </si>
  <si>
    <t>915 1003 086 00 51370 200</t>
  </si>
  <si>
    <t xml:space="preserve"> - на осуществление полномочия по осуществлению ежегодной денежной выплаты лицам, награжденным нагрудным знаком "Почетный донор России" на 109,1 т.р.;
  -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 на 35,2 т.р.;
 -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на 5,0 т.р.;</t>
  </si>
  <si>
    <t xml:space="preserve"> - на оплату жилищно-коммунальных услуг отдельным категориям граждан на 7057,9 т.р.;
 -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на 900,0 т.р.;</t>
  </si>
  <si>
    <t>915 1003 086 00 52800 200</t>
  </si>
  <si>
    <r>
      <rPr>
        <b/>
        <sz val="14"/>
        <rFont val="Times New Roman"/>
        <family val="1"/>
        <charset val="204"/>
      </rPr>
      <t>По Го и ЧС:</t>
    </r>
    <r>
      <rPr>
        <sz val="14"/>
        <rFont val="Times New Roman"/>
        <family val="1"/>
        <charset val="204"/>
      </rPr>
      <t xml:space="preserve">
 - начисления на оплату труда, прочие расходы на 39,7 т.р.;</t>
    </r>
  </si>
  <si>
    <t>915 1003 086 00 52500 200</t>
  </si>
  <si>
    <r>
      <rPr>
        <b/>
        <sz val="14"/>
        <rFont val="Times New Roman"/>
        <family val="1"/>
        <charset val="204"/>
      </rPr>
      <t>По УКС:</t>
    </r>
    <r>
      <rPr>
        <sz val="14"/>
        <rFont val="Times New Roman"/>
        <family val="1"/>
        <charset val="204"/>
      </rPr>
      <t xml:space="preserve">
 - ФОТ, прочие расходы на 555,6 т.р.;</t>
    </r>
  </si>
  <si>
    <t>900 0113 044 00 13201 600</t>
  </si>
  <si>
    <t>УКС</t>
  </si>
  <si>
    <t>строительство</t>
  </si>
  <si>
    <t xml:space="preserve"> - для оплаты заправки картриджа по опеке, монтажа по детскому дому, за обрезку тополей, средства личной гигиены д/сады, линолеум по предписанию, Аларм, дератизацию, содержание мест общего пользования, гидроаккумулятор в сумме 558,2 т.р.;</t>
  </si>
  <si>
    <t>900 0104 011 00 11031 200</t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</si>
  <si>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начисления по оплате труда, прочие расходы на 5434,5 т.р.;</t>
    </r>
  </si>
  <si>
    <t>904 1102 090 00 13012 200</t>
  </si>
  <si>
    <t xml:space="preserve"> 1.1.3.  субвенции  уменьшаются   на    24904,0 тыс. руб;</t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</si>
  <si>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увеличение уставного капитала УКС на 21400,0 т.р.;
 - расходы по подпрограмме "Милосердие" на 30,7 т.р.;</t>
    </r>
  </si>
  <si>
    <t>905 1006 081 00 11403 800</t>
  </si>
  <si>
    <t>Наградной</t>
  </si>
  <si>
    <t>Исполнение судебных решений</t>
  </si>
  <si>
    <r>
      <rPr>
        <b/>
        <sz val="14"/>
        <rFont val="Times New Roman"/>
        <family val="1"/>
        <charset val="204"/>
      </rPr>
      <t>По Администрации: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для выплаты доплат за звание "Почетный гражданин АСГО" в сумме 11,5 т.р.;
 - для оплаты градостроительной документации, ВНИМИ в сумме 602,9 т.р.;
 - для оплаты за услуги ГТРК, на оплату ГПХ в сумме 352,7 т.р.;</t>
    </r>
  </si>
  <si>
    <t>Уменьшаются ассигнования в связи с отсутствием фактических расходов, а также неисполненные в текущем финансовом году бюджетные и денежные обязательства, так как согласно бухгалтерского учета следует принимать как начисленные обязательства, подлежащие исполнению в следующем за текущим финансовым годом:</t>
  </si>
  <si>
    <r>
      <rPr>
        <b/>
        <sz val="14"/>
        <rFont val="Times New Roman"/>
        <family val="1"/>
        <charset val="204"/>
      </rPr>
      <t xml:space="preserve">ПО СНД:
</t>
    </r>
    <r>
      <rPr>
        <sz val="14"/>
        <rFont val="Times New Roman"/>
        <family val="1"/>
        <charset val="204"/>
      </rPr>
      <t xml:space="preserve"> - ФОТ, прочие расходы на 62,3 т.р.;</t>
    </r>
  </si>
  <si>
    <t>907 0103 990 00 20111 100</t>
  </si>
  <si>
    <t>907 0103 990 00 20121 100</t>
  </si>
  <si>
    <t>907 0103 990 00 24001 100</t>
  </si>
  <si>
    <t>907 0103 990 00 24001 200</t>
  </si>
  <si>
    <t>УО</t>
  </si>
  <si>
    <t>919 0502 101 00 72540 400</t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</si>
  <si>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на оформление документации и приобретение спортинвентаря на ФОК п. Рудничный на 145,0 т.р.;</t>
    </r>
  </si>
  <si>
    <r>
      <rPr>
        <b/>
        <sz val="14"/>
        <rFont val="Times New Roman"/>
        <family val="1"/>
        <charset val="204"/>
      </rPr>
      <t>По МФЦ:</t>
    </r>
    <r>
      <rPr>
        <sz val="14"/>
        <rFont val="Times New Roman"/>
        <family val="1"/>
        <charset val="204"/>
      </rPr>
      <t xml:space="preserve">
 - начисления на оплату труда, прочие расходы, строительство здания на 4672,5 т.р.;</t>
    </r>
  </si>
  <si>
    <t>900 0113 044 00 11201 400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</si>
  <si>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по 2019 году для проведения конкурсных мероприятий по проектно-изыскательстким работам котельной по ул. Прокопьевской в сумме 2964,0 т.р.;
 - для оплаты компенсации выпадающих доходов ресурсоснабжающим организациям, оплаты за технадзор за строительством теплотрассы восточного района, оплаты за содержание дорог и прочее благоустройство  в сумме 17887,0 т.р.; 
 - для оплаты з/платы ГПХ по очистным сооружениям п.Рудничный в сумме 258,3 т.р.;</t>
    </r>
  </si>
  <si>
    <t>919 1006 081 00 13401 300</t>
  </si>
  <si>
    <t>919 1006 081 00 15401 300</t>
  </si>
  <si>
    <t>919 0505 102 00 11901 600</t>
  </si>
  <si>
    <t xml:space="preserve"> - для оплаты 1С и ПО, противопожарных мероприятий, оплаты за сварочный аппарат, за вывоз мусора, связь, уголь, ГСМ, питание, страхование автомобилей в сумме 2093,9 т.р.;</t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</si>
  <si>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по обслуживанию долга (проценты по кредиту) на 699,1 т.р.;
- по муниципальной программе "Обеспечение доступным и комфортным жильем и коммунальными услугами. Строительство." по обеспечению жильем молодых семей в сумме 288,4 т.р.; по сносу зданий на 3,0 т.р., по инженерным изысканиям на 376,9 т.р., по стройконтролю на 26,8 т.р.;</t>
    </r>
  </si>
  <si>
    <t xml:space="preserve"> - на социальную поддержку работников образовательных организаций и участников образовательного процесса на 300,0 т.р.;
 -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 на 63,0 т.р.;
 - на обеспечение зачисления денежных средств для детей-сирот и детей, оставшихся без попечения родителей, на специальные накопительные банковские счета на 47 т.р.; 
- на социальную поддержку граждан при всех формах устройства детей, лишенных родительского попечения, в семью в соответствии с законами Кемеровской области от 14 декабря 2010 года № 124-ОЗ «О некоторых вопросах в сфере опеки и попечительства несовершеннолетних» 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 на 2000,0 т.р.;</t>
  </si>
  <si>
    <r>
      <t xml:space="preserve">По ГО и ЧС:
 </t>
    </r>
    <r>
      <rPr>
        <sz val="14"/>
        <rFont val="Times New Roman"/>
        <family val="1"/>
        <charset val="204"/>
      </rPr>
      <t>- для приобретения ГСМ для противопожарных мероприятий в сумме 30,0 т.р.;</t>
    </r>
  </si>
  <si>
    <r>
      <t xml:space="preserve">По Управлению культуры: 
 </t>
    </r>
    <r>
      <rPr>
        <sz val="14"/>
        <rFont val="Times New Roman"/>
        <family val="1"/>
        <charset val="204"/>
      </rPr>
      <t>- начисления по оплате труда, прочие расходы на 5094,4 т.р.;</t>
    </r>
  </si>
  <si>
    <t>911 1003 086 00 72010 600</t>
  </si>
  <si>
    <t>911 1003 086 00 72030 300</t>
  </si>
  <si>
    <t>911 1003 086 00 72050 300</t>
  </si>
  <si>
    <t>911 1003 052 00 80120 600</t>
  </si>
  <si>
    <t>911 1004 052 00 80130 300</t>
  </si>
  <si>
    <t>911 1004 052 00 71810 600</t>
  </si>
  <si>
    <t>919 0402 015 00 17001 800</t>
  </si>
  <si>
    <t>905 0501 045 00 13003 200</t>
  </si>
  <si>
    <t>900 0113 033 00 11151 200</t>
  </si>
  <si>
    <r>
      <t xml:space="preserve">По Управлению культуры:
</t>
    </r>
    <r>
      <rPr>
        <sz val="14"/>
        <rFont val="Times New Roman"/>
        <family val="1"/>
        <charset val="204"/>
      </rPr>
      <t xml:space="preserve"> -для возмещения эксплуатационных расходов по КРЦ "Сибирский" в сумме 658,9 т.р.;
 - для достижения целевого показателя "средняя зарплата работников культуры" в сумме 2524,0 т.р.;
 - для оплаты за содержание мест общего пользования в сумме 11,5 т.р.;
 - для проведения организационных мероприятий по выводу техперсонала в специализированное учреждение в сумме 71,0 т.р.;</t>
    </r>
  </si>
  <si>
    <t>По резервному фонду на 7839,6 т.р.;
По исполнению судебных решений на 634,8 т.р.;
По наградному фонду на 1,5 т.р.</t>
  </si>
  <si>
    <t>3. В соответствии с фактическими расходами уменьшается строка "Получение кредитов от кредитных организаций бюджетами городских округов в валюте Российской Федерации" на 36610,8 т.р..</t>
  </si>
  <si>
    <r>
      <rPr>
        <b/>
        <sz val="14"/>
        <rFont val="Times New Roman"/>
        <family val="1"/>
        <charset val="204"/>
      </rPr>
      <t>1.2.</t>
    </r>
    <r>
      <rPr>
        <sz val="14"/>
        <rFont val="Times New Roman"/>
        <family val="1"/>
        <charset val="204"/>
      </rPr>
      <t xml:space="preserve"> Кроме того 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9,2 тыс.руб </t>
    </r>
    <r>
      <rPr>
        <sz val="14"/>
        <rFont val="Times New Roman"/>
        <family val="1"/>
        <charset val="204"/>
      </rPr>
      <t>в том числе:</t>
    </r>
    <r>
      <rPr>
        <b/>
        <sz val="14"/>
        <rFont val="Times New Roman"/>
        <family val="1"/>
        <charset val="204"/>
      </rPr>
      <t xml:space="preserve">
з</t>
    </r>
    <r>
      <rPr>
        <sz val="14"/>
        <rFont val="Times New Roman"/>
        <family val="1"/>
        <charset val="204"/>
      </rPr>
      <t xml:space="preserve">а счет финансовой помощи от ОАО "Кузнецкие ферросплавы" увеличиваются на 50,0 тыс.руб.;
 по управлению образаванию уменьшаются на 59,2 тыс.руб.
                                                     </t>
    </r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</si>
  <si>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 На основании Закона Кемеровской области  от 21.12.2018 № 112-ОЗ «О внесении изменений в Закон Кемеровской области «Об областном бюджете на 2018 год и на плановый период 2019 и 2020 годов»,  уведомления Департамента социальной защиты населения КО от 24.12.2018 №1613, Департамента ЖКХ и дорожного комплекса от 10.12.2018 №32704000-1-12018-001/3, 25.12.2018 № 60-12-18:</t>
    </r>
  </si>
  <si>
    <r>
      <t xml:space="preserve">По УЖКХ:
</t>
    </r>
    <r>
      <rPr>
        <sz val="14"/>
        <rFont val="Times New Roman"/>
        <family val="1"/>
        <charset val="204"/>
      </rPr>
      <t xml:space="preserve"> - на поддержку государственной программы Кемеровской области и муниципальных программ формирования современной городской среды на 4219,2 т.р.;
 - на строительство и реконструкция котельных и сетей теплоснабжения с применением  энергоэффективных технологий, материалов и оборудования на 27,3 т.р.;
 - на капитальный ремонт объектов систем водоснабжения и водоотведения на 6975,0 т.р.;</t>
    </r>
  </si>
  <si>
    <t>919 0502 101 00 72470 200</t>
  </si>
  <si>
    <r>
      <rPr>
        <b/>
        <sz val="14"/>
        <rFont val="Times New Roman"/>
        <family val="1"/>
        <charset val="204"/>
      </rPr>
      <t xml:space="preserve">ПО КСП:
</t>
    </r>
    <r>
      <rPr>
        <sz val="14"/>
        <rFont val="Times New Roman"/>
        <family val="1"/>
        <charset val="204"/>
      </rPr>
      <t xml:space="preserve"> - ФОТ, прочие расходы на 23,9 т.р..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</si>
  <si>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за счет предпринимательской и иной приносящей доход деятельности для оплаты питания и хозтоваров на 369,4 т.р.;
 - на оплату противопожарных мероприятий на 4414,4 т.р.;</t>
    </r>
  </si>
  <si>
    <t xml:space="preserve"> 1.1.2.  субсидии уменьшаются  на   11221,5 тыс.руб.</t>
  </si>
  <si>
    <t>709,0 (по факту поступления на 01.12.2018г)</t>
  </si>
  <si>
    <t>6638,0  (по факту поступления на 01.12.2018г)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</si>
  <si>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</si>
  <si>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64,0  (по факту поступления на 01.12.2018г)</t>
  </si>
  <si>
    <t>9683,0  (по факту поступления на 01.12.2018г)</t>
  </si>
  <si>
    <t xml:space="preserve">   -1487,0(по факту поступления на 01.12.2018г)</t>
  </si>
  <si>
    <t>15830,0 (по факту поступления на 01.12.2018г)</t>
  </si>
  <si>
    <t xml:space="preserve"> 4675,0 (по факту поступления на 01.12.2018г)</t>
  </si>
  <si>
    <t>33086,0 (по факту на 01.12.2018г)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</si>
  <si>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</si>
  <si>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-70,0 (по факту на 01.12.2018г)</t>
  </si>
  <si>
    <t xml:space="preserve"> 763,0 (по факту на 01.12.2018г)</t>
  </si>
  <si>
    <t>747,0 (по факту на 01.12.2018г)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</si>
  <si>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</si>
  <si>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7330,0 (по факту на 01.12.2018г)</t>
  </si>
  <si>
    <t>Транспортный налог с физических лиц</t>
  </si>
  <si>
    <t>374,0 (по факту на 01.12.2018г)</t>
  </si>
  <si>
    <t>1739,0 (по факту на 01.12.2018г)</t>
  </si>
  <si>
    <t xml:space="preserve"> 25738,0 (по факту на 01.12.2018г)</t>
  </si>
  <si>
    <t>Земельный налог с физических лиц, обладающих земельным участком, расположенным в границах  городских округов</t>
  </si>
  <si>
    <t xml:space="preserve"> 12309,0 (по факту на 01.12.2018г)</t>
  </si>
  <si>
    <t>9328,0(по факту на 01.12.2018г)</t>
  </si>
  <si>
    <t>3,0 (по факту на 01.12.2018г)</t>
  </si>
  <si>
    <t>6597,0 (по факту на 01.12.2018г)</t>
  </si>
  <si>
    <t>412,0 (по факту на 01.12.2018г)</t>
  </si>
  <si>
    <t>523,0 (по факту на 01.12.2018г)</t>
  </si>
  <si>
    <t>187,0 (по факту на 01.12.2018г)</t>
  </si>
  <si>
    <t>45,0 (по факту на 01.12.2018г)</t>
  </si>
  <si>
    <t>32784,0 (по факту на 01.12.2018г)</t>
  </si>
  <si>
    <t>464,0 (по факту на 01.12.2018г)</t>
  </si>
  <si>
    <t>16980,0 (по факту на 01.12.2018г)</t>
  </si>
  <si>
    <t>125,0 (по факту на 01.12.2018г)</t>
  </si>
  <si>
    <t>3553,0 (по факту на 01.12.2018г)</t>
  </si>
  <si>
    <t>831,0 (по факту на 01.12.2018г)</t>
  </si>
  <si>
    <t>115,0 (по факту на 01.12.2018г)</t>
  </si>
  <si>
    <t>1934,0 (по факту на 01.12.2018г)</t>
  </si>
  <si>
    <t>181,0 (по факту на 01.12.2018г)</t>
  </si>
  <si>
    <t>916,4 (по факту на 01.12.2018г)</t>
  </si>
  <si>
    <t>1712,0 (по факту на 01.12.2018г)</t>
  </si>
  <si>
    <t>377,0 (по факту на 01.12.2018г)</t>
  </si>
  <si>
    <t>6,0 (по факту на 01.12.2018г)</t>
  </si>
  <si>
    <t>3534,0 (по факту на 01.12.2018г)</t>
  </si>
  <si>
    <t>1963,0 (по факту на 01.12.2018г)</t>
  </si>
  <si>
    <t>Доходы от продажи земельных участков, государственная собственность на которые разграничена (за исключением земельных участков автономных учреждений, а также земельных участков государственных и муниципальных унитарных предприятий, в том числе казенных)</t>
  </si>
  <si>
    <t>81,0 (по факту на 01.12.2018г)</t>
  </si>
  <si>
    <t>211,0 (по факту на 01.12.2018г)</t>
  </si>
  <si>
    <t>21,0 (по факту на 01.12.2018г)</t>
  </si>
  <si>
    <t>299,0 (по факту на 01.12.2018г)</t>
  </si>
  <si>
    <t>83,0 (по факту на 01.12.2018г)</t>
  </si>
  <si>
    <t>1335,0 (по факту на 01.12.2018г)</t>
  </si>
  <si>
    <t>20,0 (по факту на 01.12.2018г)</t>
  </si>
  <si>
    <t>112,0 (по факту на 01.12.2018г)</t>
  </si>
  <si>
    <t>813,0 (по факту на 01.12.2018г)</t>
  </si>
  <si>
    <t>174,0 (по факту на 01.12.2018г)</t>
  </si>
  <si>
    <t>63,0 (по факту на 01.12.2018г)</t>
  </si>
  <si>
    <t>2379,0 (по факту на 01.12.2018г)</t>
  </si>
  <si>
    <r>
      <t xml:space="preserve">ВСЕГО доходов собственной базы 2018 год:   </t>
    </r>
    <r>
      <rPr>
        <b/>
        <sz val="18"/>
        <rFont val="Times New Roman"/>
        <family val="1"/>
        <charset val="204"/>
      </rPr>
      <t xml:space="preserve"> - </t>
    </r>
    <r>
      <rPr>
        <b/>
        <sz val="14"/>
        <rFont val="Times New Roman"/>
        <family val="1"/>
        <charset val="204"/>
      </rPr>
      <t>3526,6тыс.руб.</t>
    </r>
  </si>
  <si>
    <t>1.1. На основании Закона Кемеровской области  от 21.12.2018 № 112-ОЗ «О внесении изменений в Закон Кемеровской области «Об областном бюджете на 2018 год и на плановый период 2019 и 2020 годов»,  уведомления Департамента социальной защиты населения КО от 24.12.2018 №1613, Департамента ЖКХ и дорожного комплекса от 10.12.2018 №32704000-1-12018-001/3; от 25.12.2018 № 60-12-18.</t>
  </si>
  <si>
    <t>6155,8(по факту на 01.12.2018г)</t>
  </si>
  <si>
    <t>348311,8 (по факту поступления на 01.12.2018г)</t>
  </si>
  <si>
    <t>1564,0 (по факту поступления на 01.12.2018г)</t>
  </si>
  <si>
    <t>2981,0 (по факту поступления на 01.12.2018г)</t>
  </si>
  <si>
    <t>По плановому периоду 2019-2020гг уточняются условно утвержденные расходы, увеличиваются по 2019г на 19,9 т.р., по 2020г на 41,1 т.р.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</si>
</sst>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0"/>
  </numFmts>
  <fonts count="3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sz val="14"/>
      <name val="Times"/>
      <family val="1"/>
    </font>
    <font>
      <b/>
      <sz val="14"/>
      <name val="Arial Cyr"/>
      <charset val="204"/>
    </font>
    <font>
      <vertAlign val="superscript"/>
      <sz val="12"/>
      <name val="Times"/>
      <family val="1"/>
    </font>
    <font>
      <i/>
      <vertAlign val="superscript"/>
      <sz val="12"/>
      <name val="Arial"/>
      <family val="2"/>
      <charset val="204"/>
    </font>
    <font>
      <i/>
      <sz val="12"/>
      <name val="Arial"/>
      <family val="2"/>
      <charset val="204"/>
    </font>
    <font>
      <sz val="14"/>
      <color theme="4" tint="-0.249977111117893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8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1" xfId="0" applyNumberFormat="1" applyFont="1" applyFill="1" applyBorder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164" fontId="26" fillId="0" borderId="1" xfId="0" applyNumberFormat="1" applyFont="1" applyFill="1" applyBorder="1" applyAlignment="1">
      <alignment vertical="center"/>
    </xf>
    <xf numFmtId="16" fontId="27" fillId="0" borderId="0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vertical="top" wrapText="1"/>
    </xf>
    <xf numFmtId="164" fontId="27" fillId="0" borderId="0" xfId="0" applyNumberFormat="1" applyFont="1" applyFill="1" applyBorder="1" applyAlignment="1">
      <alignment wrapText="1"/>
    </xf>
    <xf numFmtId="164" fontId="27" fillId="0" borderId="1" xfId="0" applyNumberFormat="1" applyFont="1" applyFill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164" fontId="24" fillId="0" borderId="0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right"/>
    </xf>
    <xf numFmtId="0" fontId="27" fillId="0" borderId="1" xfId="0" applyFont="1" applyFill="1" applyBorder="1" applyAlignment="1">
      <alignment vertical="justify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justify"/>
    </xf>
    <xf numFmtId="0" fontId="27" fillId="0" borderId="1" xfId="0" applyFont="1" applyFill="1" applyBorder="1" applyAlignment="1">
      <alignment horizontal="left" vertical="center" wrapText="1"/>
    </xf>
    <xf numFmtId="0" fontId="29" fillId="0" borderId="0" xfId="0" applyFont="1" applyFill="1"/>
    <xf numFmtId="2" fontId="29" fillId="0" borderId="1" xfId="0" applyNumberFormat="1" applyFont="1" applyFill="1" applyBorder="1"/>
    <xf numFmtId="0" fontId="29" fillId="0" borderId="1" xfId="0" applyFont="1" applyFill="1" applyBorder="1"/>
    <xf numFmtId="0" fontId="4" fillId="0" borderId="11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/>
    <xf numFmtId="0" fontId="31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0" fontId="26" fillId="0" borderId="9" xfId="0" applyFont="1" applyFill="1" applyBorder="1"/>
    <xf numFmtId="0" fontId="24" fillId="0" borderId="17" xfId="0" applyFont="1" applyFill="1" applyBorder="1" applyAlignment="1">
      <alignment horizontal="left" wrapText="1"/>
    </xf>
    <xf numFmtId="0" fontId="25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164" fontId="6" fillId="0" borderId="1" xfId="0" applyNumberFormat="1" applyFont="1" applyFill="1" applyBorder="1"/>
    <xf numFmtId="166" fontId="25" fillId="0" borderId="0" xfId="0" applyNumberFormat="1" applyFont="1" applyFill="1"/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right" vertical="center"/>
    </xf>
    <xf numFmtId="2" fontId="29" fillId="0" borderId="0" xfId="0" applyNumberFormat="1" applyFont="1" applyFill="1" applyBorder="1"/>
    <xf numFmtId="0" fontId="29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right" vertical="center"/>
    </xf>
    <xf numFmtId="164" fontId="27" fillId="0" borderId="21" xfId="0" applyNumberFormat="1" applyFont="1" applyFill="1" applyBorder="1" applyAlignment="1">
      <alignment horizontal="right" vertical="center"/>
    </xf>
    <xf numFmtId="164" fontId="27" fillId="0" borderId="7" xfId="0" applyNumberFormat="1" applyFont="1" applyFill="1" applyBorder="1" applyAlignment="1">
      <alignment horizontal="right"/>
    </xf>
    <xf numFmtId="0" fontId="24" fillId="0" borderId="6" xfId="0" applyFont="1" applyFill="1" applyBorder="1" applyAlignment="1">
      <alignment horizontal="left" vertical="center"/>
    </xf>
    <xf numFmtId="0" fontId="24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right" vertical="center"/>
    </xf>
    <xf numFmtId="164" fontId="27" fillId="0" borderId="19" xfId="0" applyNumberFormat="1" applyFont="1" applyFill="1" applyBorder="1" applyAlignment="1">
      <alignment horizontal="right" vertical="center"/>
    </xf>
    <xf numFmtId="164" fontId="27" fillId="0" borderId="18" xfId="0" applyNumberFormat="1" applyFont="1" applyFill="1" applyBorder="1" applyAlignment="1">
      <alignment horizontal="right"/>
    </xf>
    <xf numFmtId="164" fontId="27" fillId="0" borderId="1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distributed"/>
    </xf>
    <xf numFmtId="0" fontId="29" fillId="0" borderId="1" xfId="0" applyFont="1" applyFill="1" applyBorder="1" applyAlignment="1">
      <alignment horizontal="left" vertical="distributed"/>
    </xf>
    <xf numFmtId="0" fontId="26" fillId="0" borderId="9" xfId="0" applyFont="1" applyFill="1" applyBorder="1" applyAlignment="1">
      <alignment horizontal="left"/>
    </xf>
    <xf numFmtId="164" fontId="27" fillId="0" borderId="18" xfId="0" applyNumberFormat="1" applyFont="1" applyFill="1" applyBorder="1" applyAlignment="1">
      <alignment horizontal="right" vertical="top"/>
    </xf>
    <xf numFmtId="164" fontId="26" fillId="0" borderId="18" xfId="0" applyNumberFormat="1" applyFont="1" applyFill="1" applyBorder="1" applyAlignment="1">
      <alignment horizontal="right" vertical="center"/>
    </xf>
    <xf numFmtId="164" fontId="29" fillId="0" borderId="0" xfId="0" applyNumberFormat="1" applyFont="1" applyFill="1"/>
    <xf numFmtId="165" fontId="26" fillId="0" borderId="9" xfId="0" applyNumberFormat="1" applyFont="1" applyFill="1" applyBorder="1"/>
    <xf numFmtId="165" fontId="27" fillId="0" borderId="1" xfId="0" applyNumberFormat="1" applyFont="1" applyFill="1" applyBorder="1" applyAlignment="1">
      <alignment horizontal="right"/>
    </xf>
    <xf numFmtId="0" fontId="27" fillId="0" borderId="0" xfId="0" applyNumberFormat="1" applyFont="1" applyFill="1" applyAlignment="1">
      <alignment horizontal="left" wrapText="1"/>
    </xf>
    <xf numFmtId="0" fontId="27" fillId="0" borderId="8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0" fontId="24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justify" wrapText="1"/>
    </xf>
    <xf numFmtId="0" fontId="29" fillId="0" borderId="1" xfId="0" applyFont="1" applyFill="1" applyBorder="1" applyAlignment="1">
      <alignment horizontal="right" wrapText="1"/>
    </xf>
    <xf numFmtId="16" fontId="27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vertical="top" wrapText="1"/>
    </xf>
    <xf numFmtId="0" fontId="27" fillId="0" borderId="2" xfId="0" applyFont="1" applyFill="1" applyBorder="1" applyAlignment="1">
      <alignment vertical="top" wrapText="1"/>
    </xf>
    <xf numFmtId="165" fontId="25" fillId="0" borderId="0" xfId="0" applyNumberFormat="1" applyFont="1" applyFill="1"/>
    <xf numFmtId="164" fontId="35" fillId="0" borderId="1" xfId="0" applyNumberFormat="1" applyFont="1" applyFill="1" applyBorder="1" applyAlignment="1">
      <alignment vertical="center"/>
    </xf>
    <xf numFmtId="164" fontId="35" fillId="0" borderId="2" xfId="0" applyNumberFormat="1" applyFont="1" applyFill="1" applyBorder="1" applyAlignment="1">
      <alignment vertical="top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6" fillId="0" borderId="1" xfId="0" applyNumberFormat="1" applyFont="1" applyFill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horizontal="left" wrapText="1"/>
    </xf>
    <xf numFmtId="0" fontId="27" fillId="0" borderId="8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0" fontId="24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justify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7" fillId="0" borderId="0" xfId="0" applyNumberFormat="1" applyFont="1" applyFill="1" applyAlignment="1">
      <alignment horizontal="left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wrapText="1"/>
    </xf>
    <xf numFmtId="0" fontId="27" fillId="0" borderId="6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/>
    </xf>
    <xf numFmtId="49" fontId="26" fillId="0" borderId="18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left" vertical="top" wrapText="1"/>
    </xf>
    <xf numFmtId="164" fontId="27" fillId="0" borderId="2" xfId="0" applyNumberFormat="1" applyFont="1" applyFill="1" applyBorder="1" applyAlignment="1">
      <alignment horizontal="right" vertical="center"/>
    </xf>
    <xf numFmtId="164" fontId="27" fillId="0" borderId="8" xfId="0" applyNumberFormat="1" applyFont="1" applyFill="1" applyBorder="1" applyAlignment="1">
      <alignment horizontal="right" vertical="center"/>
    </xf>
    <xf numFmtId="164" fontId="27" fillId="0" borderId="9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49" fontId="26" fillId="0" borderId="1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0" fontId="27" fillId="0" borderId="9" xfId="0" applyFont="1" applyFill="1" applyBorder="1" applyAlignment="1">
      <alignment horizontal="left" vertical="top" wrapText="1"/>
    </xf>
    <xf numFmtId="164" fontId="36" fillId="0" borderId="24" xfId="0" applyNumberFormat="1" applyFont="1" applyFill="1" applyBorder="1" applyAlignment="1">
      <alignment horizontal="right" vertical="top"/>
    </xf>
    <xf numFmtId="164" fontId="36" fillId="0" borderId="28" xfId="0" applyNumberFormat="1" applyFont="1" applyFill="1" applyBorder="1" applyAlignment="1">
      <alignment horizontal="right" vertical="top"/>
    </xf>
    <xf numFmtId="164" fontId="36" fillId="0" borderId="25" xfId="0" applyNumberFormat="1" applyFont="1" applyFill="1" applyBorder="1" applyAlignment="1">
      <alignment horizontal="right" vertical="top"/>
    </xf>
    <xf numFmtId="164" fontId="36" fillId="0" borderId="27" xfId="0" applyNumberFormat="1" applyFont="1" applyFill="1" applyBorder="1" applyAlignment="1">
      <alignment horizontal="right" vertical="top"/>
    </xf>
    <xf numFmtId="164" fontId="36" fillId="0" borderId="26" xfId="0" applyNumberFormat="1" applyFont="1" applyFill="1" applyBorder="1" applyAlignment="1">
      <alignment horizontal="right" vertical="top"/>
    </xf>
    <xf numFmtId="0" fontId="24" fillId="0" borderId="0" xfId="0" applyNumberFormat="1" applyFont="1" applyFill="1" applyAlignment="1">
      <alignment horizontal="left" wrapText="1"/>
    </xf>
    <xf numFmtId="49" fontId="6" fillId="0" borderId="1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/>
    </xf>
    <xf numFmtId="0" fontId="27" fillId="0" borderId="0" xfId="0" applyNumberFormat="1" applyFont="1" applyFill="1" applyAlignment="1">
      <alignment wrapText="1"/>
    </xf>
    <xf numFmtId="0" fontId="24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/>
    </xf>
    <xf numFmtId="16" fontId="27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30" fillId="0" borderId="0" xfId="0" applyFont="1" applyFill="1" applyAlignment="1">
      <alignment horizontal="left"/>
    </xf>
    <xf numFmtId="0" fontId="27" fillId="0" borderId="0" xfId="0" applyFont="1" applyFill="1" applyBorder="1" applyAlignment="1">
      <alignment horizontal="left" vertical="justify" wrapText="1"/>
    </xf>
    <xf numFmtId="0" fontId="24" fillId="0" borderId="17" xfId="0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89" t="s">
        <v>0</v>
      </c>
      <c r="B1" s="189"/>
      <c r="C1" s="189"/>
      <c r="D1" s="189"/>
      <c r="E1" s="189"/>
      <c r="F1" s="189"/>
    </row>
    <row r="2" spans="1:8" ht="66.75" customHeight="1" x14ac:dyDescent="0.2">
      <c r="A2" s="190" t="s">
        <v>79</v>
      </c>
      <c r="B2" s="190"/>
      <c r="C2" s="190"/>
      <c r="D2" s="190"/>
      <c r="E2" s="190"/>
      <c r="F2" s="190"/>
    </row>
    <row r="3" spans="1:8" ht="15.75" customHeight="1" x14ac:dyDescent="0.3">
      <c r="A3" s="186" t="s">
        <v>90</v>
      </c>
      <c r="B3" s="186"/>
      <c r="C3" s="186"/>
      <c r="D3" s="186"/>
      <c r="E3" s="186"/>
      <c r="F3" s="186"/>
      <c r="G3" s="6"/>
      <c r="H3" s="6"/>
    </row>
    <row r="4" spans="1:8" ht="65.25" customHeight="1" x14ac:dyDescent="0.3">
      <c r="A4" s="191" t="s">
        <v>222</v>
      </c>
      <c r="B4" s="191"/>
      <c r="C4" s="191"/>
      <c r="D4" s="191"/>
      <c r="E4" s="191"/>
      <c r="F4" s="191"/>
      <c r="G4" s="6"/>
      <c r="H4" s="6"/>
    </row>
    <row r="5" spans="1:8" ht="18.75" customHeight="1" x14ac:dyDescent="0.3">
      <c r="A5" s="192" t="s">
        <v>233</v>
      </c>
      <c r="B5" s="192"/>
      <c r="C5" s="192"/>
      <c r="D5" s="192"/>
      <c r="E5" s="192"/>
      <c r="F5" s="192"/>
      <c r="G5" s="6"/>
      <c r="H5" s="6"/>
    </row>
    <row r="6" spans="1:8" ht="18.75" customHeight="1" x14ac:dyDescent="0.3">
      <c r="A6" s="192" t="s">
        <v>234</v>
      </c>
      <c r="B6" s="192"/>
      <c r="C6" s="192"/>
      <c r="D6" s="192"/>
      <c r="E6" s="192"/>
      <c r="F6" s="192"/>
      <c r="G6" s="6"/>
      <c r="H6" s="6"/>
    </row>
    <row r="7" spans="1:8" ht="17.25" customHeight="1" x14ac:dyDescent="0.3">
      <c r="A7" s="192" t="s">
        <v>235</v>
      </c>
      <c r="B7" s="192"/>
      <c r="C7" s="192"/>
      <c r="D7" s="192"/>
      <c r="E7" s="192"/>
      <c r="F7" s="192"/>
      <c r="G7" s="6"/>
      <c r="H7" s="6"/>
    </row>
    <row r="8" spans="1:8" ht="15.75" customHeight="1" x14ac:dyDescent="0.3">
      <c r="A8" s="186" t="s">
        <v>236</v>
      </c>
      <c r="B8" s="186"/>
      <c r="C8" s="186"/>
      <c r="D8" s="186"/>
      <c r="E8" s="186"/>
      <c r="F8" s="186"/>
      <c r="G8" s="6"/>
      <c r="H8" s="6"/>
    </row>
    <row r="9" spans="1:8" ht="35.25" customHeight="1" x14ac:dyDescent="0.3">
      <c r="A9" s="193" t="s">
        <v>91</v>
      </c>
      <c r="B9" s="193"/>
      <c r="C9" s="193"/>
      <c r="D9" s="193"/>
      <c r="E9" s="193"/>
      <c r="F9" s="193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94" t="s">
        <v>242</v>
      </c>
      <c r="B27" s="194"/>
      <c r="C27" s="194"/>
      <c r="D27" s="194"/>
      <c r="E27" s="194"/>
      <c r="F27" s="194"/>
      <c r="G27" s="6"/>
      <c r="H27" s="6"/>
    </row>
    <row r="28" spans="1:8" ht="28.5" customHeight="1" x14ac:dyDescent="0.3">
      <c r="A28" s="185" t="s">
        <v>243</v>
      </c>
      <c r="B28" s="185"/>
      <c r="C28" s="185"/>
      <c r="D28" s="185"/>
      <c r="E28" s="185"/>
      <c r="F28" s="185"/>
      <c r="G28" s="6"/>
      <c r="H28" s="6"/>
    </row>
    <row r="29" spans="1:8" ht="19.5" customHeight="1" x14ac:dyDescent="0.3">
      <c r="A29" s="185"/>
      <c r="B29" s="185"/>
      <c r="C29" s="185"/>
      <c r="D29" s="185"/>
      <c r="E29" s="185"/>
      <c r="F29" s="185"/>
      <c r="G29" s="6"/>
      <c r="H29" s="6"/>
    </row>
    <row r="30" spans="1:8" ht="20.25" customHeight="1" x14ac:dyDescent="0.25">
      <c r="A30" s="187" t="s">
        <v>238</v>
      </c>
      <c r="B30" s="187"/>
      <c r="C30" s="187"/>
      <c r="D30" s="187"/>
      <c r="E30" s="187"/>
      <c r="F30" s="187"/>
    </row>
    <row r="31" spans="1:8" ht="52.5" customHeight="1" x14ac:dyDescent="0.25">
      <c r="A31" s="186" t="s">
        <v>239</v>
      </c>
      <c r="B31" s="186"/>
      <c r="C31" s="186"/>
      <c r="D31" s="186"/>
      <c r="E31" s="186"/>
      <c r="F31" s="186"/>
    </row>
    <row r="32" spans="1:8" ht="21.75" customHeight="1" x14ac:dyDescent="0.25">
      <c r="A32" s="188" t="s">
        <v>31</v>
      </c>
      <c r="B32" s="188"/>
      <c r="C32" s="188"/>
      <c r="D32" s="188"/>
      <c r="E32" s="188"/>
      <c r="F32" s="188"/>
    </row>
    <row r="33" spans="1:6" ht="102.75" customHeight="1" x14ac:dyDescent="0.25">
      <c r="A33" s="186" t="s">
        <v>197</v>
      </c>
      <c r="B33" s="186"/>
      <c r="C33" s="186"/>
      <c r="D33" s="186"/>
      <c r="E33" s="186"/>
      <c r="F33" s="186"/>
    </row>
    <row r="34" spans="1:6" ht="17.25" customHeight="1" x14ac:dyDescent="0.25">
      <c r="A34" s="186" t="s">
        <v>38</v>
      </c>
      <c r="B34" s="186"/>
      <c r="C34" s="186"/>
      <c r="D34" s="186"/>
      <c r="E34" s="186"/>
      <c r="F34" s="186"/>
    </row>
    <row r="35" spans="1:6" ht="35.25" customHeight="1" x14ac:dyDescent="0.25">
      <c r="A35" s="186" t="s">
        <v>108</v>
      </c>
      <c r="B35" s="186"/>
      <c r="C35" s="186"/>
      <c r="D35" s="186"/>
      <c r="E35" s="186"/>
      <c r="F35" s="186"/>
    </row>
    <row r="36" spans="1:6" ht="35.25" customHeight="1" x14ac:dyDescent="0.25">
      <c r="A36" s="186" t="s">
        <v>196</v>
      </c>
      <c r="B36" s="186"/>
      <c r="C36" s="186"/>
      <c r="D36" s="186"/>
      <c r="E36" s="186"/>
      <c r="F36" s="186"/>
    </row>
    <row r="37" spans="1:6" ht="21.75" customHeight="1" x14ac:dyDescent="0.25">
      <c r="A37" s="186" t="s">
        <v>72</v>
      </c>
      <c r="B37" s="186"/>
      <c r="C37" s="186"/>
      <c r="D37" s="186"/>
      <c r="E37" s="186"/>
      <c r="F37" s="186"/>
    </row>
    <row r="38" spans="1:6" ht="84" customHeight="1" x14ac:dyDescent="0.25">
      <c r="A38" s="186" t="s">
        <v>195</v>
      </c>
      <c r="B38" s="186"/>
      <c r="C38" s="186"/>
      <c r="D38" s="186"/>
      <c r="E38" s="186"/>
      <c r="F38" s="186"/>
    </row>
    <row r="39" spans="1:6" s="67" customFormat="1" ht="65.25" customHeight="1" x14ac:dyDescent="0.25">
      <c r="A39" s="195" t="s">
        <v>113</v>
      </c>
      <c r="B39" s="195"/>
      <c r="C39" s="195"/>
      <c r="D39" s="195"/>
      <c r="E39" s="195"/>
      <c r="F39" s="195"/>
    </row>
    <row r="40" spans="1:6" ht="19.5" customHeight="1" x14ac:dyDescent="0.25">
      <c r="A40" s="186" t="s">
        <v>37</v>
      </c>
      <c r="B40" s="186"/>
      <c r="C40" s="186"/>
      <c r="D40" s="186"/>
      <c r="E40" s="186"/>
      <c r="F40" s="186"/>
    </row>
    <row r="41" spans="1:6" ht="17.25" customHeight="1" x14ac:dyDescent="0.25">
      <c r="A41" s="186" t="s">
        <v>70</v>
      </c>
      <c r="B41" s="186"/>
      <c r="C41" s="186"/>
      <c r="D41" s="186"/>
      <c r="E41" s="186"/>
      <c r="F41" s="186"/>
    </row>
    <row r="42" spans="1:6" ht="87" customHeight="1" x14ac:dyDescent="0.25">
      <c r="A42" s="186" t="s">
        <v>226</v>
      </c>
      <c r="B42" s="186"/>
      <c r="C42" s="186"/>
      <c r="D42" s="186"/>
      <c r="E42" s="186"/>
      <c r="F42" s="186"/>
    </row>
    <row r="43" spans="1:6" ht="19.5" customHeight="1" x14ac:dyDescent="0.25">
      <c r="A43" s="186" t="s">
        <v>72</v>
      </c>
      <c r="B43" s="186"/>
      <c r="C43" s="186"/>
      <c r="D43" s="186"/>
      <c r="E43" s="186"/>
      <c r="F43" s="186"/>
    </row>
    <row r="44" spans="1:6" ht="68.25" customHeight="1" x14ac:dyDescent="0.25">
      <c r="A44" s="186" t="s">
        <v>128</v>
      </c>
      <c r="B44" s="186"/>
      <c r="C44" s="186"/>
      <c r="D44" s="186"/>
      <c r="E44" s="186"/>
      <c r="F44" s="186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200" t="s">
        <v>2</v>
      </c>
      <c r="C46" s="200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98" t="s">
        <v>30</v>
      </c>
      <c r="B47" s="196" t="s">
        <v>117</v>
      </c>
      <c r="C47" s="197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201"/>
      <c r="B48" s="196" t="s">
        <v>95</v>
      </c>
      <c r="C48" s="197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98" t="s">
        <v>8</v>
      </c>
      <c r="B49" s="196" t="s">
        <v>118</v>
      </c>
      <c r="C49" s="197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99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99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98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99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99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99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99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99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99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99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201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202"/>
      <c r="C61" s="202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203" t="s">
        <v>29</v>
      </c>
      <c r="B63" s="203"/>
      <c r="C63" s="203"/>
      <c r="D63" s="203"/>
      <c r="E63" s="203"/>
      <c r="F63" s="203"/>
    </row>
    <row r="64" spans="1:8" ht="106.5" customHeight="1" x14ac:dyDescent="0.25">
      <c r="A64" s="204" t="s">
        <v>240</v>
      </c>
      <c r="B64" s="204"/>
      <c r="C64" s="204"/>
      <c r="D64" s="204"/>
      <c r="E64" s="204"/>
      <c r="F64" s="204"/>
    </row>
    <row r="65" spans="1:6" ht="65.25" customHeight="1" x14ac:dyDescent="0.25">
      <c r="A65" s="205" t="s">
        <v>198</v>
      </c>
      <c r="B65" s="204"/>
      <c r="C65" s="204"/>
      <c r="D65" s="204"/>
      <c r="E65" s="204"/>
      <c r="F65" s="204"/>
    </row>
    <row r="66" spans="1:6" ht="36.75" customHeight="1" x14ac:dyDescent="0.25">
      <c r="A66" s="205" t="s">
        <v>121</v>
      </c>
      <c r="B66" s="204"/>
      <c r="C66" s="204"/>
      <c r="D66" s="204"/>
      <c r="E66" s="204"/>
      <c r="F66" s="204"/>
    </row>
    <row r="67" spans="1:6" ht="68.25" customHeight="1" x14ac:dyDescent="0.25">
      <c r="A67" s="205" t="s">
        <v>171</v>
      </c>
      <c r="B67" s="205"/>
      <c r="C67" s="205"/>
      <c r="D67" s="205"/>
      <c r="E67" s="205"/>
      <c r="F67" s="205"/>
    </row>
    <row r="68" spans="1:6" ht="87.75" customHeight="1" x14ac:dyDescent="0.25">
      <c r="A68" s="205" t="s">
        <v>227</v>
      </c>
      <c r="B68" s="205"/>
      <c r="C68" s="205"/>
      <c r="D68" s="205"/>
      <c r="E68" s="205"/>
      <c r="F68" s="205"/>
    </row>
    <row r="69" spans="1:6" ht="20.25" customHeight="1" x14ac:dyDescent="0.25">
      <c r="A69" s="207" t="s">
        <v>32</v>
      </c>
      <c r="B69" s="207"/>
      <c r="C69" s="207"/>
      <c r="D69" s="207"/>
      <c r="E69" s="207"/>
      <c r="F69" s="207"/>
    </row>
    <row r="70" spans="1:6" ht="114" customHeight="1" x14ac:dyDescent="0.25">
      <c r="A70" s="206" t="s">
        <v>201</v>
      </c>
      <c r="B70" s="206"/>
      <c r="C70" s="206"/>
      <c r="D70" s="206"/>
      <c r="E70" s="206"/>
      <c r="F70" s="206"/>
    </row>
    <row r="71" spans="1:6" ht="71.25" customHeight="1" x14ac:dyDescent="0.25">
      <c r="A71" s="206" t="s">
        <v>190</v>
      </c>
      <c r="B71" s="206"/>
      <c r="C71" s="206"/>
      <c r="D71" s="206"/>
      <c r="E71" s="206"/>
      <c r="F71" s="206"/>
    </row>
    <row r="72" spans="1:6" ht="83.25" customHeight="1" x14ac:dyDescent="0.25">
      <c r="A72" s="206" t="s">
        <v>228</v>
      </c>
      <c r="B72" s="206"/>
      <c r="C72" s="206"/>
      <c r="D72" s="206"/>
      <c r="E72" s="206"/>
      <c r="F72" s="206"/>
    </row>
    <row r="73" spans="1:6" ht="38.25" customHeight="1" x14ac:dyDescent="0.25">
      <c r="A73" s="206" t="s">
        <v>191</v>
      </c>
      <c r="B73" s="206"/>
      <c r="C73" s="206"/>
      <c r="D73" s="206"/>
      <c r="E73" s="206"/>
      <c r="F73" s="206"/>
    </row>
    <row r="74" spans="1:6" ht="82.5" customHeight="1" x14ac:dyDescent="0.25">
      <c r="A74" s="206" t="s">
        <v>202</v>
      </c>
      <c r="B74" s="206"/>
      <c r="C74" s="206"/>
      <c r="D74" s="206"/>
      <c r="E74" s="206"/>
      <c r="F74" s="206"/>
    </row>
    <row r="75" spans="1:6" ht="18.75" customHeight="1" x14ac:dyDescent="0.25">
      <c r="A75" s="207" t="s">
        <v>35</v>
      </c>
      <c r="B75" s="207"/>
      <c r="C75" s="207"/>
      <c r="D75" s="207"/>
      <c r="E75" s="207"/>
      <c r="F75" s="207"/>
    </row>
    <row r="76" spans="1:6" ht="20.25" customHeight="1" x14ac:dyDescent="0.25">
      <c r="A76" s="206" t="s">
        <v>80</v>
      </c>
      <c r="B76" s="206"/>
      <c r="C76" s="206"/>
      <c r="D76" s="206"/>
      <c r="E76" s="206"/>
      <c r="F76" s="206"/>
    </row>
    <row r="77" spans="1:6" ht="87" customHeight="1" x14ac:dyDescent="0.25">
      <c r="A77" s="206" t="s">
        <v>186</v>
      </c>
      <c r="B77" s="206"/>
      <c r="C77" s="206"/>
      <c r="D77" s="206"/>
      <c r="E77" s="206"/>
      <c r="F77" s="206"/>
    </row>
    <row r="78" spans="1:6" ht="48" customHeight="1" x14ac:dyDescent="0.25">
      <c r="A78" s="206" t="s">
        <v>203</v>
      </c>
      <c r="B78" s="206"/>
      <c r="C78" s="206"/>
      <c r="D78" s="206"/>
      <c r="E78" s="206"/>
      <c r="F78" s="206"/>
    </row>
    <row r="79" spans="1:6" ht="48.75" customHeight="1" x14ac:dyDescent="0.25">
      <c r="A79" s="206" t="s">
        <v>126</v>
      </c>
      <c r="B79" s="206"/>
      <c r="C79" s="206"/>
      <c r="D79" s="206"/>
      <c r="E79" s="206"/>
      <c r="F79" s="206"/>
    </row>
    <row r="80" spans="1:6" ht="48.75" customHeight="1" x14ac:dyDescent="0.25">
      <c r="A80" s="206" t="s">
        <v>184</v>
      </c>
      <c r="B80" s="206"/>
      <c r="C80" s="206"/>
      <c r="D80" s="206"/>
      <c r="E80" s="206"/>
      <c r="F80" s="206"/>
    </row>
    <row r="81" spans="1:6" ht="48.75" customHeight="1" x14ac:dyDescent="0.25">
      <c r="A81" s="206" t="s">
        <v>204</v>
      </c>
      <c r="B81" s="206"/>
      <c r="C81" s="206"/>
      <c r="D81" s="206"/>
      <c r="E81" s="206"/>
      <c r="F81" s="206"/>
    </row>
    <row r="82" spans="1:6" ht="21" customHeight="1" x14ac:dyDescent="0.2">
      <c r="A82" s="208" t="s">
        <v>199</v>
      </c>
      <c r="B82" s="208"/>
      <c r="C82" s="208"/>
      <c r="D82" s="208"/>
      <c r="E82" s="208"/>
      <c r="F82" s="208"/>
    </row>
    <row r="83" spans="1:6" ht="20.25" customHeight="1" x14ac:dyDescent="0.25">
      <c r="A83" s="206" t="s">
        <v>80</v>
      </c>
      <c r="B83" s="206"/>
      <c r="C83" s="206"/>
      <c r="D83" s="206"/>
      <c r="E83" s="206"/>
      <c r="F83" s="206"/>
    </row>
    <row r="84" spans="1:6" ht="68.25" customHeight="1" x14ac:dyDescent="0.25">
      <c r="A84" s="205" t="s">
        <v>200</v>
      </c>
      <c r="B84" s="205"/>
      <c r="C84" s="205"/>
      <c r="D84" s="205"/>
      <c r="E84" s="205"/>
      <c r="F84" s="205"/>
    </row>
    <row r="85" spans="1:6" ht="24.75" hidden="1" customHeight="1" x14ac:dyDescent="0.25">
      <c r="A85" s="207" t="s">
        <v>85</v>
      </c>
      <c r="B85" s="207"/>
      <c r="C85" s="207"/>
      <c r="D85" s="207"/>
      <c r="E85" s="207"/>
      <c r="F85" s="207"/>
    </row>
    <row r="86" spans="1:6" ht="18" customHeight="1" x14ac:dyDescent="0.25">
      <c r="A86" s="204" t="s">
        <v>31</v>
      </c>
      <c r="B86" s="204"/>
      <c r="C86" s="204"/>
      <c r="D86" s="204"/>
      <c r="E86" s="204"/>
      <c r="F86" s="204"/>
    </row>
    <row r="87" spans="1:6" ht="32.25" customHeight="1" x14ac:dyDescent="0.3">
      <c r="A87" s="209" t="s">
        <v>129</v>
      </c>
      <c r="B87" s="209"/>
      <c r="C87" s="209"/>
      <c r="D87" s="209"/>
      <c r="E87" s="209"/>
      <c r="F87" s="209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205" t="s">
        <v>130</v>
      </c>
      <c r="B89" s="205"/>
      <c r="C89" s="205"/>
      <c r="D89" s="205"/>
      <c r="E89" s="205"/>
      <c r="F89" s="205"/>
    </row>
    <row r="90" spans="1:6" ht="21" customHeight="1" x14ac:dyDescent="0.25">
      <c r="A90" s="205" t="s">
        <v>224</v>
      </c>
      <c r="B90" s="205"/>
      <c r="C90" s="205"/>
      <c r="D90" s="205"/>
      <c r="E90" s="205"/>
      <c r="F90" s="205"/>
    </row>
    <row r="91" spans="1:6" ht="21" customHeight="1" x14ac:dyDescent="0.25">
      <c r="A91" s="205" t="s">
        <v>131</v>
      </c>
      <c r="B91" s="205"/>
      <c r="C91" s="205"/>
      <c r="D91" s="205"/>
      <c r="E91" s="205"/>
      <c r="F91" s="205"/>
    </row>
    <row r="92" spans="1:6" ht="21" customHeight="1" x14ac:dyDescent="0.25">
      <c r="A92" s="205" t="s">
        <v>150</v>
      </c>
      <c r="B92" s="205"/>
      <c r="C92" s="205"/>
      <c r="D92" s="205"/>
      <c r="E92" s="205"/>
      <c r="F92" s="205"/>
    </row>
    <row r="93" spans="1:6" ht="21" customHeight="1" x14ac:dyDescent="0.25">
      <c r="A93" s="205" t="s">
        <v>132</v>
      </c>
      <c r="B93" s="205"/>
      <c r="C93" s="205"/>
      <c r="D93" s="205"/>
      <c r="E93" s="205"/>
      <c r="F93" s="205"/>
    </row>
    <row r="94" spans="1:6" ht="39" customHeight="1" x14ac:dyDescent="0.25">
      <c r="A94" s="205" t="s">
        <v>133</v>
      </c>
      <c r="B94" s="205"/>
      <c r="C94" s="205"/>
      <c r="D94" s="205"/>
      <c r="E94" s="205"/>
      <c r="F94" s="205"/>
    </row>
    <row r="95" spans="1:6" ht="72.75" customHeight="1" x14ac:dyDescent="0.25">
      <c r="A95" s="205" t="s">
        <v>229</v>
      </c>
      <c r="B95" s="205"/>
      <c r="C95" s="205"/>
      <c r="D95" s="205"/>
      <c r="E95" s="205"/>
      <c r="F95" s="205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205" t="s">
        <v>134</v>
      </c>
      <c r="B97" s="205"/>
      <c r="C97" s="205"/>
      <c r="D97" s="205"/>
      <c r="E97" s="205"/>
      <c r="F97" s="205"/>
    </row>
    <row r="98" spans="1:6" ht="21" customHeight="1" x14ac:dyDescent="0.25">
      <c r="A98" s="205" t="s">
        <v>135</v>
      </c>
      <c r="B98" s="205"/>
      <c r="C98" s="205"/>
      <c r="D98" s="205"/>
      <c r="E98" s="205"/>
      <c r="F98" s="205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205" t="s">
        <v>136</v>
      </c>
      <c r="B100" s="205"/>
      <c r="C100" s="205"/>
      <c r="D100" s="205"/>
      <c r="E100" s="205"/>
      <c r="F100" s="205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205" t="s">
        <v>137</v>
      </c>
      <c r="B102" s="205"/>
      <c r="C102" s="205"/>
      <c r="D102" s="205"/>
      <c r="E102" s="205"/>
      <c r="F102" s="205"/>
    </row>
    <row r="103" spans="1:6" ht="21" customHeight="1" x14ac:dyDescent="0.25">
      <c r="A103" s="205" t="s">
        <v>225</v>
      </c>
      <c r="B103" s="205"/>
      <c r="C103" s="205"/>
      <c r="D103" s="205"/>
      <c r="E103" s="205"/>
      <c r="F103" s="205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205" t="s">
        <v>143</v>
      </c>
      <c r="B105" s="205"/>
      <c r="C105" s="205"/>
      <c r="D105" s="205"/>
      <c r="E105" s="205"/>
      <c r="F105" s="205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205" t="s">
        <v>138</v>
      </c>
      <c r="B107" s="205"/>
      <c r="C107" s="205"/>
      <c r="D107" s="205"/>
      <c r="E107" s="205"/>
      <c r="F107" s="205"/>
    </row>
    <row r="108" spans="1:6" ht="32.25" customHeight="1" x14ac:dyDescent="0.25">
      <c r="A108" s="205" t="s">
        <v>141</v>
      </c>
      <c r="B108" s="205"/>
      <c r="C108" s="205"/>
      <c r="D108" s="205"/>
      <c r="E108" s="205"/>
      <c r="F108" s="205"/>
    </row>
    <row r="109" spans="1:6" ht="21" customHeight="1" x14ac:dyDescent="0.25">
      <c r="A109" s="205" t="s">
        <v>139</v>
      </c>
      <c r="B109" s="205"/>
      <c r="C109" s="205"/>
      <c r="D109" s="205"/>
      <c r="E109" s="205"/>
      <c r="F109" s="205"/>
    </row>
    <row r="110" spans="1:6" ht="21" customHeight="1" x14ac:dyDescent="0.25">
      <c r="A110" s="205" t="s">
        <v>140</v>
      </c>
      <c r="B110" s="205"/>
      <c r="C110" s="205"/>
      <c r="D110" s="205"/>
      <c r="E110" s="205"/>
      <c r="F110" s="205"/>
    </row>
    <row r="111" spans="1:6" ht="18" customHeight="1" x14ac:dyDescent="0.3">
      <c r="A111" s="209" t="s">
        <v>87</v>
      </c>
      <c r="B111" s="209"/>
      <c r="C111" s="209"/>
      <c r="D111" s="209"/>
      <c r="E111" s="209"/>
      <c r="F111" s="209"/>
    </row>
    <row r="112" spans="1:6" ht="51" customHeight="1" x14ac:dyDescent="0.25">
      <c r="A112" s="210" t="s">
        <v>174</v>
      </c>
      <c r="B112" s="210"/>
      <c r="C112" s="210"/>
      <c r="D112" s="210"/>
      <c r="E112" s="210"/>
      <c r="F112" s="210"/>
    </row>
    <row r="113" spans="1:14" ht="18" customHeight="1" x14ac:dyDescent="0.3">
      <c r="A113" s="209" t="s">
        <v>81</v>
      </c>
      <c r="B113" s="209"/>
      <c r="C113" s="209"/>
      <c r="D113" s="209"/>
      <c r="E113" s="209"/>
      <c r="F113" s="209"/>
    </row>
    <row r="114" spans="1:14" s="68" customFormat="1" ht="18" customHeight="1" x14ac:dyDescent="0.25">
      <c r="A114" s="210" t="s">
        <v>86</v>
      </c>
      <c r="B114" s="210"/>
      <c r="C114" s="210"/>
      <c r="D114" s="210"/>
      <c r="E114" s="210"/>
      <c r="F114" s="210"/>
    </row>
    <row r="115" spans="1:14" ht="34.5" customHeight="1" x14ac:dyDescent="0.25">
      <c r="A115" s="210" t="s">
        <v>175</v>
      </c>
      <c r="B115" s="210"/>
      <c r="C115" s="210"/>
      <c r="D115" s="210"/>
      <c r="E115" s="210"/>
      <c r="F115" s="210"/>
    </row>
    <row r="116" spans="1:14" ht="18" customHeight="1" x14ac:dyDescent="0.3">
      <c r="A116" s="209" t="s">
        <v>194</v>
      </c>
      <c r="B116" s="209"/>
      <c r="C116" s="209"/>
      <c r="D116" s="209"/>
      <c r="E116" s="209"/>
      <c r="F116" s="209"/>
    </row>
    <row r="117" spans="1:14" s="68" customFormat="1" ht="18" customHeight="1" x14ac:dyDescent="0.25">
      <c r="A117" s="210" t="s">
        <v>230</v>
      </c>
      <c r="B117" s="210"/>
      <c r="C117" s="210"/>
      <c r="D117" s="210"/>
      <c r="E117" s="210"/>
      <c r="F117" s="210"/>
    </row>
    <row r="118" spans="1:14" ht="17.25" customHeight="1" x14ac:dyDescent="0.25">
      <c r="A118" s="210" t="s">
        <v>231</v>
      </c>
      <c r="B118" s="210"/>
      <c r="C118" s="210"/>
      <c r="D118" s="210"/>
      <c r="E118" s="210"/>
      <c r="F118" s="210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200" t="s">
        <v>2</v>
      </c>
      <c r="C120" s="200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98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99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99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99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99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99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99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99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99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99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99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99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99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99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99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99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99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99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99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99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99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99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99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213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213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213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213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213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213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213"/>
      <c r="B150" s="214" t="s">
        <v>123</v>
      </c>
      <c r="C150" s="215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213"/>
      <c r="B151" s="211" t="s">
        <v>125</v>
      </c>
      <c r="C151" s="212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213"/>
      <c r="B152" s="211" t="s">
        <v>152</v>
      </c>
      <c r="C152" s="212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213"/>
      <c r="B153" s="211" t="s">
        <v>192</v>
      </c>
      <c r="C153" s="212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213"/>
      <c r="B154" s="211" t="s">
        <v>124</v>
      </c>
      <c r="C154" s="212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98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99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99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99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99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99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99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99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99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99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99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99"/>
      <c r="B166" s="211" t="s">
        <v>142</v>
      </c>
      <c r="C166" s="212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99"/>
      <c r="B167" s="211" t="s">
        <v>177</v>
      </c>
      <c r="C167" s="212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99"/>
      <c r="B168" s="211" t="s">
        <v>176</v>
      </c>
      <c r="C168" s="212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201"/>
      <c r="B169" s="211" t="s">
        <v>182</v>
      </c>
      <c r="C169" s="212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213" t="s">
        <v>14</v>
      </c>
      <c r="B170" s="211" t="s">
        <v>54</v>
      </c>
      <c r="C170" s="212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213"/>
      <c r="B171" s="211" t="s">
        <v>40</v>
      </c>
      <c r="C171" s="212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213"/>
      <c r="B172" s="211" t="s">
        <v>42</v>
      </c>
      <c r="C172" s="212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213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213"/>
      <c r="B174" s="211" t="s">
        <v>73</v>
      </c>
      <c r="C174" s="212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213"/>
      <c r="B175" s="211" t="s">
        <v>41</v>
      </c>
      <c r="C175" s="212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211" t="s">
        <v>74</v>
      </c>
      <c r="C176" s="212"/>
      <c r="D176" s="36">
        <v>0</v>
      </c>
      <c r="E176" s="39"/>
      <c r="F176" s="35">
        <f t="shared" si="2"/>
        <v>0</v>
      </c>
    </row>
    <row r="177" spans="1:6" ht="15.75" x14ac:dyDescent="0.25">
      <c r="A177" s="198" t="s">
        <v>25</v>
      </c>
      <c r="B177" s="211" t="s">
        <v>116</v>
      </c>
      <c r="C177" s="212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99"/>
      <c r="B178" s="211" t="s">
        <v>115</v>
      </c>
      <c r="C178" s="212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99"/>
      <c r="B179" s="211" t="s">
        <v>101</v>
      </c>
      <c r="C179" s="212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99"/>
      <c r="B180" s="211" t="s">
        <v>100</v>
      </c>
      <c r="C180" s="212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99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201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211" t="s">
        <v>71</v>
      </c>
      <c r="C183" s="212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98" t="s">
        <v>26</v>
      </c>
      <c r="B184" s="211" t="s">
        <v>93</v>
      </c>
      <c r="C184" s="212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99"/>
      <c r="B185" s="211" t="s">
        <v>65</v>
      </c>
      <c r="C185" s="212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99"/>
      <c r="B186" s="211" t="s">
        <v>97</v>
      </c>
      <c r="C186" s="212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99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99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99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99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99"/>
      <c r="B191" s="211" t="s">
        <v>145</v>
      </c>
      <c r="C191" s="212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99"/>
      <c r="B192" s="211" t="s">
        <v>99</v>
      </c>
      <c r="C192" s="212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99"/>
      <c r="B193" s="211" t="s">
        <v>144</v>
      </c>
      <c r="C193" s="212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99"/>
      <c r="B194" s="211" t="s">
        <v>146</v>
      </c>
      <c r="C194" s="212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202"/>
      <c r="C195" s="202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28" t="s">
        <v>241</v>
      </c>
      <c r="B197" s="228"/>
      <c r="C197" s="228"/>
      <c r="D197" s="228"/>
      <c r="E197" s="228"/>
      <c r="F197" s="228"/>
    </row>
    <row r="198" spans="1:13" ht="16.5" customHeight="1" x14ac:dyDescent="0.25">
      <c r="A198" s="228" t="s">
        <v>232</v>
      </c>
      <c r="B198" s="228"/>
      <c r="C198" s="228"/>
      <c r="D198" s="228"/>
      <c r="E198" s="228"/>
      <c r="F198" s="228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38" t="s">
        <v>10</v>
      </c>
      <c r="B200" s="239"/>
      <c r="C200" s="240" t="s">
        <v>11</v>
      </c>
      <c r="D200" s="240"/>
      <c r="E200" s="240"/>
      <c r="F200" s="240"/>
    </row>
    <row r="201" spans="1:13" ht="17.25" customHeight="1" x14ac:dyDescent="0.25">
      <c r="A201" s="41" t="s">
        <v>12</v>
      </c>
      <c r="B201" s="72">
        <v>33.5</v>
      </c>
      <c r="C201" s="216" t="s">
        <v>27</v>
      </c>
      <c r="D201" s="217"/>
      <c r="E201" s="218"/>
      <c r="F201" s="235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219"/>
      <c r="D202" s="220"/>
      <c r="E202" s="221"/>
      <c r="F202" s="236"/>
    </row>
    <row r="203" spans="1:13" ht="16.5" customHeight="1" x14ac:dyDescent="0.25">
      <c r="A203" s="41" t="s">
        <v>28</v>
      </c>
      <c r="B203" s="72">
        <v>720</v>
      </c>
      <c r="C203" s="222"/>
      <c r="D203" s="223"/>
      <c r="E203" s="224"/>
      <c r="F203" s="237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225" t="s">
        <v>153</v>
      </c>
      <c r="B204" s="235">
        <v>24924</v>
      </c>
      <c r="C204" s="229" t="s">
        <v>154</v>
      </c>
      <c r="D204" s="230"/>
      <c r="E204" s="231"/>
      <c r="F204" s="74">
        <v>7447</v>
      </c>
      <c r="H204" s="16"/>
    </row>
    <row r="205" spans="1:13" ht="16.5" customHeight="1" x14ac:dyDescent="0.2">
      <c r="A205" s="226"/>
      <c r="B205" s="236"/>
      <c r="C205" s="229" t="s">
        <v>168</v>
      </c>
      <c r="D205" s="230"/>
      <c r="E205" s="231"/>
      <c r="F205" s="74">
        <f>313-84.6</f>
        <v>228.4</v>
      </c>
      <c r="H205" s="16"/>
    </row>
    <row r="206" spans="1:13" ht="16.5" customHeight="1" x14ac:dyDescent="0.2">
      <c r="A206" s="226"/>
      <c r="B206" s="236"/>
      <c r="C206" s="229" t="s">
        <v>155</v>
      </c>
      <c r="D206" s="230"/>
      <c r="E206" s="231"/>
      <c r="F206" s="74">
        <v>849</v>
      </c>
      <c r="H206" s="16"/>
    </row>
    <row r="207" spans="1:13" ht="16.5" customHeight="1" x14ac:dyDescent="0.2">
      <c r="A207" s="226"/>
      <c r="B207" s="236"/>
      <c r="C207" s="229" t="s">
        <v>156</v>
      </c>
      <c r="D207" s="230"/>
      <c r="E207" s="231"/>
      <c r="F207" s="74">
        <v>1543.8</v>
      </c>
      <c r="H207" s="16"/>
    </row>
    <row r="208" spans="1:13" ht="16.5" customHeight="1" x14ac:dyDescent="0.2">
      <c r="A208" s="226"/>
      <c r="B208" s="236"/>
      <c r="C208" s="229" t="s">
        <v>161</v>
      </c>
      <c r="D208" s="230"/>
      <c r="E208" s="231"/>
      <c r="F208" s="74">
        <v>1554.3</v>
      </c>
      <c r="H208" s="16"/>
    </row>
    <row r="209" spans="1:13" ht="16.5" customHeight="1" x14ac:dyDescent="0.2">
      <c r="A209" s="226"/>
      <c r="B209" s="236"/>
      <c r="C209" s="229" t="s">
        <v>157</v>
      </c>
      <c r="D209" s="230"/>
      <c r="E209" s="231"/>
      <c r="F209" s="74">
        <v>213.7</v>
      </c>
      <c r="H209" s="16"/>
    </row>
    <row r="210" spans="1:13" ht="16.5" customHeight="1" x14ac:dyDescent="0.2">
      <c r="A210" s="226"/>
      <c r="B210" s="236"/>
      <c r="C210" s="229" t="s">
        <v>158</v>
      </c>
      <c r="D210" s="230"/>
      <c r="E210" s="231"/>
      <c r="F210" s="74">
        <v>1301.5</v>
      </c>
      <c r="H210" s="16"/>
    </row>
    <row r="211" spans="1:13" ht="33" customHeight="1" x14ac:dyDescent="0.2">
      <c r="A211" s="226"/>
      <c r="B211" s="236"/>
      <c r="C211" s="229" t="s">
        <v>159</v>
      </c>
      <c r="D211" s="230"/>
      <c r="E211" s="231"/>
      <c r="F211" s="74">
        <v>213.6</v>
      </c>
      <c r="H211" s="16"/>
    </row>
    <row r="212" spans="1:13" ht="14.25" customHeight="1" x14ac:dyDescent="0.2">
      <c r="A212" s="226"/>
      <c r="B212" s="236"/>
      <c r="C212" s="229" t="s">
        <v>160</v>
      </c>
      <c r="D212" s="230"/>
      <c r="E212" s="231"/>
      <c r="F212" s="74">
        <f>1130.5+84.6</f>
        <v>1215.0999999999999</v>
      </c>
      <c r="H212" s="16"/>
    </row>
    <row r="213" spans="1:13" ht="33" customHeight="1" x14ac:dyDescent="0.2">
      <c r="A213" s="226"/>
      <c r="B213" s="236"/>
      <c r="C213" s="229" t="s">
        <v>162</v>
      </c>
      <c r="D213" s="230"/>
      <c r="E213" s="231"/>
      <c r="F213" s="74">
        <v>670.6</v>
      </c>
      <c r="H213" s="16"/>
    </row>
    <row r="214" spans="1:13" ht="16.5" customHeight="1" x14ac:dyDescent="0.2">
      <c r="A214" s="226"/>
      <c r="B214" s="236"/>
      <c r="C214" s="229" t="s">
        <v>163</v>
      </c>
      <c r="D214" s="230"/>
      <c r="E214" s="231"/>
      <c r="F214" s="74">
        <v>930.4</v>
      </c>
      <c r="H214" s="16"/>
    </row>
    <row r="215" spans="1:13" ht="16.5" customHeight="1" x14ac:dyDescent="0.2">
      <c r="A215" s="226"/>
      <c r="B215" s="236"/>
      <c r="C215" s="229" t="s">
        <v>164</v>
      </c>
      <c r="D215" s="230"/>
      <c r="E215" s="231"/>
      <c r="F215" s="74">
        <v>1589</v>
      </c>
      <c r="H215" s="16"/>
    </row>
    <row r="216" spans="1:13" ht="16.5" customHeight="1" x14ac:dyDescent="0.2">
      <c r="A216" s="226"/>
      <c r="B216" s="236"/>
      <c r="C216" s="229" t="s">
        <v>163</v>
      </c>
      <c r="D216" s="230"/>
      <c r="E216" s="231"/>
      <c r="F216" s="74">
        <v>2190.4</v>
      </c>
      <c r="H216" s="16"/>
    </row>
    <row r="217" spans="1:13" ht="16.5" customHeight="1" x14ac:dyDescent="0.2">
      <c r="A217" s="226"/>
      <c r="B217" s="236"/>
      <c r="C217" s="229" t="s">
        <v>165</v>
      </c>
      <c r="D217" s="230"/>
      <c r="E217" s="231"/>
      <c r="F217" s="74">
        <v>4609.7</v>
      </c>
      <c r="H217" s="16"/>
    </row>
    <row r="218" spans="1:13" ht="16.5" customHeight="1" x14ac:dyDescent="0.2">
      <c r="A218" s="226"/>
      <c r="B218" s="236"/>
      <c r="C218" s="232" t="s">
        <v>88</v>
      </c>
      <c r="D218" s="233"/>
      <c r="E218" s="234"/>
      <c r="F218" s="74">
        <v>64.5</v>
      </c>
      <c r="H218" s="16"/>
    </row>
    <row r="219" spans="1:13" ht="16.5" customHeight="1" x14ac:dyDescent="0.2">
      <c r="A219" s="226"/>
      <c r="B219" s="236"/>
      <c r="C219" s="229" t="s">
        <v>166</v>
      </c>
      <c r="D219" s="230"/>
      <c r="E219" s="231"/>
      <c r="F219" s="74">
        <v>219.6</v>
      </c>
      <c r="H219" s="16"/>
    </row>
    <row r="220" spans="1:13" ht="16.5" customHeight="1" x14ac:dyDescent="0.2">
      <c r="A220" s="227"/>
      <c r="B220" s="237"/>
      <c r="C220" s="229" t="s">
        <v>167</v>
      </c>
      <c r="D220" s="230"/>
      <c r="E220" s="231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29" t="s">
        <v>170</v>
      </c>
      <c r="D221" s="230"/>
      <c r="E221" s="231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29" t="s">
        <v>89</v>
      </c>
      <c r="D222" s="230"/>
      <c r="E222" s="231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29" t="s">
        <v>160</v>
      </c>
      <c r="D223" s="230"/>
      <c r="E223" s="231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41" t="s">
        <v>9</v>
      </c>
      <c r="D224" s="241"/>
      <c r="E224" s="241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42" t="s">
        <v>66</v>
      </c>
      <c r="B226" s="242"/>
      <c r="C226" s="242"/>
      <c r="D226" s="242"/>
      <c r="E226" s="243" t="s">
        <v>67</v>
      </c>
      <c r="F226" s="243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0"/>
  <sheetViews>
    <sheetView topLeftCell="A372" zoomScaleNormal="100" zoomScaleSheetLayoutView="78" workbookViewId="0">
      <selection activeCell="E222" sqref="E222"/>
    </sheetView>
  </sheetViews>
  <sheetFormatPr defaultColWidth="9.140625" defaultRowHeight="18" x14ac:dyDescent="0.25"/>
  <cols>
    <col min="1" max="1" width="44" style="79" customWidth="1"/>
    <col min="2" max="2" width="14.7109375" style="79" customWidth="1"/>
    <col min="3" max="3" width="16.42578125" style="79" customWidth="1"/>
    <col min="4" max="4" width="15.7109375" style="79" customWidth="1"/>
    <col min="5" max="5" width="20.5703125" style="79" customWidth="1"/>
    <col min="6" max="6" width="22.28515625" style="79" customWidth="1"/>
    <col min="7" max="7" width="18.28515625" style="79" customWidth="1"/>
    <col min="8" max="8" width="15.42578125" style="103" customWidth="1"/>
    <col min="9" max="9" width="3.5703125" style="79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291" t="s">
        <v>0</v>
      </c>
      <c r="B1" s="291"/>
      <c r="C1" s="291"/>
      <c r="D1" s="291"/>
      <c r="E1" s="291"/>
      <c r="F1" s="291"/>
    </row>
    <row r="2" spans="1:8" ht="66.75" customHeight="1" x14ac:dyDescent="0.25">
      <c r="A2" s="292" t="s">
        <v>247</v>
      </c>
      <c r="B2" s="292"/>
      <c r="C2" s="292"/>
      <c r="D2" s="292"/>
      <c r="E2" s="292"/>
      <c r="F2" s="292"/>
      <c r="H2" s="165" t="s">
        <v>269</v>
      </c>
    </row>
    <row r="3" spans="1:8" ht="18.75" x14ac:dyDescent="0.25">
      <c r="A3" s="293" t="s">
        <v>248</v>
      </c>
      <c r="B3" s="293"/>
      <c r="C3" s="293"/>
      <c r="D3" s="293"/>
      <c r="E3" s="293"/>
      <c r="F3" s="293"/>
    </row>
    <row r="4" spans="1:8" ht="18.75" x14ac:dyDescent="0.25">
      <c r="A4" s="293"/>
      <c r="B4" s="293"/>
      <c r="C4" s="293"/>
      <c r="D4" s="293"/>
      <c r="E4" s="293"/>
      <c r="F4" s="293"/>
    </row>
    <row r="5" spans="1:8" ht="77.25" customHeight="1" x14ac:dyDescent="0.25">
      <c r="A5" s="293" t="s">
        <v>629</v>
      </c>
      <c r="B5" s="293"/>
      <c r="C5" s="293"/>
      <c r="D5" s="293"/>
      <c r="E5" s="293"/>
      <c r="F5" s="293"/>
    </row>
    <row r="6" spans="1:8" ht="15.75" hidden="1" customHeight="1" x14ac:dyDescent="0.3">
      <c r="A6" s="290" t="s">
        <v>288</v>
      </c>
      <c r="B6" s="290"/>
      <c r="C6" s="290"/>
      <c r="D6" s="89"/>
      <c r="E6" s="89"/>
      <c r="F6" s="89"/>
      <c r="H6" s="104"/>
    </row>
    <row r="7" spans="1:8" ht="18.75" customHeight="1" x14ac:dyDescent="0.3">
      <c r="A7" s="290" t="s">
        <v>571</v>
      </c>
      <c r="B7" s="290"/>
      <c r="C7" s="290"/>
      <c r="D7" s="290"/>
      <c r="E7" s="89"/>
      <c r="F7" s="89"/>
      <c r="H7" s="104">
        <v>-11221.5</v>
      </c>
    </row>
    <row r="8" spans="1:8" ht="18" customHeight="1" x14ac:dyDescent="0.3">
      <c r="A8" s="290" t="s">
        <v>527</v>
      </c>
      <c r="B8" s="290"/>
      <c r="C8" s="290"/>
      <c r="D8" s="89"/>
      <c r="E8" s="89"/>
      <c r="F8" s="89"/>
      <c r="H8" s="104">
        <v>-24904</v>
      </c>
    </row>
    <row r="9" spans="1:8" ht="15.75" customHeight="1" x14ac:dyDescent="0.3">
      <c r="A9" s="295" t="s">
        <v>481</v>
      </c>
      <c r="B9" s="295"/>
      <c r="C9" s="295"/>
      <c r="D9" s="295"/>
      <c r="E9" s="295"/>
      <c r="F9" s="89"/>
      <c r="H9" s="105">
        <v>2693.5</v>
      </c>
    </row>
    <row r="10" spans="1:8" ht="17.25" hidden="1" customHeight="1" x14ac:dyDescent="0.25">
      <c r="A10" s="293" t="s">
        <v>255</v>
      </c>
      <c r="B10" s="293"/>
      <c r="C10" s="293"/>
      <c r="D10" s="293"/>
      <c r="E10" s="293"/>
      <c r="F10" s="293"/>
    </row>
    <row r="11" spans="1:8" ht="18" hidden="1" customHeight="1" x14ac:dyDescent="0.3">
      <c r="A11" s="290" t="s">
        <v>257</v>
      </c>
      <c r="B11" s="290"/>
      <c r="C11" s="290"/>
      <c r="D11" s="89"/>
      <c r="E11" s="166"/>
      <c r="F11" s="89"/>
    </row>
    <row r="12" spans="1:8" ht="18.75" hidden="1" customHeight="1" x14ac:dyDescent="0.25">
      <c r="A12" s="293" t="s">
        <v>256</v>
      </c>
      <c r="B12" s="293"/>
      <c r="C12" s="293"/>
      <c r="D12" s="293"/>
      <c r="E12" s="293"/>
      <c r="F12" s="293"/>
    </row>
    <row r="13" spans="1:8" ht="20.25" hidden="1" customHeight="1" x14ac:dyDescent="0.3">
      <c r="A13" s="295" t="s">
        <v>258</v>
      </c>
      <c r="B13" s="295"/>
      <c r="C13" s="295"/>
      <c r="D13" s="89"/>
      <c r="E13" s="166"/>
      <c r="F13" s="89"/>
    </row>
    <row r="14" spans="1:8" ht="18.75" customHeight="1" x14ac:dyDescent="0.3">
      <c r="A14" s="164"/>
      <c r="B14" s="164"/>
      <c r="C14" s="164"/>
      <c r="D14" s="91"/>
      <c r="E14" s="89"/>
      <c r="F14" s="89"/>
    </row>
    <row r="15" spans="1:8" ht="18.75" customHeight="1" x14ac:dyDescent="0.25">
      <c r="A15" s="296" t="s">
        <v>295</v>
      </c>
      <c r="B15" s="296"/>
      <c r="C15" s="296"/>
      <c r="D15" s="296"/>
      <c r="E15" s="296"/>
      <c r="F15" s="296"/>
    </row>
    <row r="16" spans="1:8" ht="57.75" customHeight="1" x14ac:dyDescent="0.25">
      <c r="A16" s="97" t="s">
        <v>15</v>
      </c>
      <c r="B16" s="98" t="s">
        <v>249</v>
      </c>
      <c r="C16" s="99" t="s">
        <v>387</v>
      </c>
      <c r="D16" s="98" t="s">
        <v>16</v>
      </c>
      <c r="E16" s="98" t="s">
        <v>17</v>
      </c>
      <c r="F16" s="100" t="s">
        <v>18</v>
      </c>
    </row>
    <row r="17" spans="1:6" ht="81.75" customHeight="1" x14ac:dyDescent="0.25">
      <c r="A17" s="148" t="s">
        <v>441</v>
      </c>
      <c r="B17" s="98">
        <v>321835.3</v>
      </c>
      <c r="C17" s="98">
        <v>304999.09999999998</v>
      </c>
      <c r="D17" s="98">
        <f>348322-10.2</f>
        <v>348311.8</v>
      </c>
      <c r="E17" s="174">
        <f t="shared" ref="E17:E74" si="0">D17-B17</f>
        <v>26476.5</v>
      </c>
      <c r="F17" s="147" t="s">
        <v>631</v>
      </c>
    </row>
    <row r="18" spans="1:6" ht="167.45" customHeight="1" x14ac:dyDescent="0.25">
      <c r="A18" s="148" t="s">
        <v>399</v>
      </c>
      <c r="B18" s="98">
        <v>1427</v>
      </c>
      <c r="C18" s="98">
        <v>1534.4</v>
      </c>
      <c r="D18" s="98">
        <v>1564</v>
      </c>
      <c r="E18" s="174">
        <f t="shared" si="0"/>
        <v>137</v>
      </c>
      <c r="F18" s="147" t="s">
        <v>632</v>
      </c>
    </row>
    <row r="19" spans="1:6" ht="78.75" x14ac:dyDescent="0.25">
      <c r="A19" s="148" t="s">
        <v>400</v>
      </c>
      <c r="B19" s="98">
        <v>1285</v>
      </c>
      <c r="C19" s="98">
        <v>2855.5</v>
      </c>
      <c r="D19" s="98">
        <v>2981</v>
      </c>
      <c r="E19" s="174">
        <f t="shared" si="0"/>
        <v>1696</v>
      </c>
      <c r="F19" s="147" t="s">
        <v>633</v>
      </c>
    </row>
    <row r="20" spans="1:6" ht="131.25" customHeight="1" x14ac:dyDescent="0.25">
      <c r="A20" s="148" t="s">
        <v>401</v>
      </c>
      <c r="B20" s="98">
        <v>0</v>
      </c>
      <c r="C20" s="98">
        <v>622.4</v>
      </c>
      <c r="D20" s="98">
        <v>709</v>
      </c>
      <c r="E20" s="174">
        <f t="shared" si="0"/>
        <v>709</v>
      </c>
      <c r="F20" s="147" t="s">
        <v>572</v>
      </c>
    </row>
    <row r="21" spans="1:6" ht="114" customHeight="1" x14ac:dyDescent="0.25">
      <c r="A21" s="148" t="s">
        <v>402</v>
      </c>
      <c r="B21" s="98">
        <v>5867</v>
      </c>
      <c r="C21" s="98">
        <v>6025.3</v>
      </c>
      <c r="D21" s="98">
        <v>6638</v>
      </c>
      <c r="E21" s="174">
        <f t="shared" si="0"/>
        <v>771</v>
      </c>
      <c r="F21" s="147" t="s">
        <v>573</v>
      </c>
    </row>
    <row r="22" spans="1:6" ht="126" hidden="1" x14ac:dyDescent="0.25">
      <c r="A22" s="148" t="s">
        <v>403</v>
      </c>
      <c r="B22" s="98">
        <v>9792</v>
      </c>
      <c r="C22" s="98">
        <v>8815.5</v>
      </c>
      <c r="D22" s="98">
        <v>9792</v>
      </c>
      <c r="E22" s="174">
        <f t="shared" si="0"/>
        <v>0</v>
      </c>
      <c r="F22" s="147" t="s">
        <v>404</v>
      </c>
    </row>
    <row r="23" spans="1:6" ht="141.75" x14ac:dyDescent="0.25">
      <c r="A23" s="148" t="s">
        <v>574</v>
      </c>
      <c r="B23" s="98">
        <v>62</v>
      </c>
      <c r="C23" s="98">
        <v>57.2</v>
      </c>
      <c r="D23" s="98">
        <v>64</v>
      </c>
      <c r="E23" s="174">
        <f t="shared" si="0"/>
        <v>2</v>
      </c>
      <c r="F23" s="147" t="s">
        <v>575</v>
      </c>
    </row>
    <row r="24" spans="1:6" ht="126" x14ac:dyDescent="0.25">
      <c r="A24" s="148" t="s">
        <v>403</v>
      </c>
      <c r="B24" s="98">
        <v>9792</v>
      </c>
      <c r="C24" s="98">
        <v>8976</v>
      </c>
      <c r="D24" s="98">
        <v>9683</v>
      </c>
      <c r="E24" s="174">
        <f t="shared" si="0"/>
        <v>-109</v>
      </c>
      <c r="F24" s="147" t="s">
        <v>576</v>
      </c>
    </row>
    <row r="25" spans="1:6" ht="126" x14ac:dyDescent="0.25">
      <c r="A25" s="148" t="s">
        <v>405</v>
      </c>
      <c r="B25" s="98">
        <v>0</v>
      </c>
      <c r="C25" s="98">
        <v>-1344.2</v>
      </c>
      <c r="D25" s="98">
        <v>-1487</v>
      </c>
      <c r="E25" s="174">
        <f t="shared" si="0"/>
        <v>-1487</v>
      </c>
      <c r="F25" s="147" t="s">
        <v>577</v>
      </c>
    </row>
    <row r="26" spans="1:6" ht="47.25" x14ac:dyDescent="0.25">
      <c r="A26" s="148" t="s">
        <v>406</v>
      </c>
      <c r="B26" s="98">
        <v>15602</v>
      </c>
      <c r="C26" s="98">
        <v>14804.39</v>
      </c>
      <c r="D26" s="98">
        <v>15830</v>
      </c>
      <c r="E26" s="174">
        <f t="shared" si="0"/>
        <v>228</v>
      </c>
      <c r="F26" s="147" t="s">
        <v>578</v>
      </c>
    </row>
    <row r="27" spans="1:6" ht="63" x14ac:dyDescent="0.25">
      <c r="A27" s="148" t="s">
        <v>407</v>
      </c>
      <c r="B27" s="98">
        <v>4516</v>
      </c>
      <c r="C27" s="98">
        <v>4498.71</v>
      </c>
      <c r="D27" s="98">
        <v>4675</v>
      </c>
      <c r="E27" s="174">
        <f t="shared" si="0"/>
        <v>159</v>
      </c>
      <c r="F27" s="147" t="s">
        <v>579</v>
      </c>
    </row>
    <row r="28" spans="1:6" ht="31.5" x14ac:dyDescent="0.25">
      <c r="A28" s="148" t="s">
        <v>251</v>
      </c>
      <c r="B28" s="98">
        <v>40037</v>
      </c>
      <c r="C28" s="99">
        <v>32145.9</v>
      </c>
      <c r="D28" s="98">
        <v>33086</v>
      </c>
      <c r="E28" s="174">
        <f t="shared" si="0"/>
        <v>-6951</v>
      </c>
      <c r="F28" s="147" t="s">
        <v>580</v>
      </c>
    </row>
    <row r="29" spans="1:6" ht="63" x14ac:dyDescent="0.25">
      <c r="A29" s="148" t="s">
        <v>581</v>
      </c>
      <c r="B29" s="98">
        <v>0</v>
      </c>
      <c r="C29" s="99">
        <v>-76.7</v>
      </c>
      <c r="D29" s="98">
        <v>-70</v>
      </c>
      <c r="E29" s="174">
        <f t="shared" si="0"/>
        <v>-70</v>
      </c>
      <c r="F29" s="147" t="s">
        <v>582</v>
      </c>
    </row>
    <row r="30" spans="1:6" ht="31.5" x14ac:dyDescent="0.25">
      <c r="A30" s="148" t="s">
        <v>76</v>
      </c>
      <c r="B30" s="98">
        <v>765</v>
      </c>
      <c r="C30" s="99">
        <v>762.5</v>
      </c>
      <c r="D30" s="98">
        <v>763</v>
      </c>
      <c r="E30" s="174">
        <f t="shared" si="0"/>
        <v>-2</v>
      </c>
      <c r="F30" s="147" t="s">
        <v>583</v>
      </c>
    </row>
    <row r="31" spans="1:6" ht="47.25" customHeight="1" x14ac:dyDescent="0.25">
      <c r="A31" s="148" t="s">
        <v>408</v>
      </c>
      <c r="B31" s="98">
        <v>399</v>
      </c>
      <c r="C31" s="99">
        <v>477.7</v>
      </c>
      <c r="D31" s="98">
        <v>747</v>
      </c>
      <c r="E31" s="174">
        <f t="shared" si="0"/>
        <v>348</v>
      </c>
      <c r="F31" s="147" t="s">
        <v>584</v>
      </c>
    </row>
    <row r="32" spans="1:6" ht="67.5" customHeight="1" x14ac:dyDescent="0.25">
      <c r="A32" s="148" t="s">
        <v>585</v>
      </c>
      <c r="B32" s="98">
        <v>6762</v>
      </c>
      <c r="C32" s="99">
        <v>5071.6000000000004</v>
      </c>
      <c r="D32" s="98">
        <v>7330</v>
      </c>
      <c r="E32" s="174">
        <f t="shared" si="0"/>
        <v>568</v>
      </c>
      <c r="F32" s="147" t="s">
        <v>586</v>
      </c>
    </row>
    <row r="33" spans="1:6" ht="31.5" x14ac:dyDescent="0.25">
      <c r="A33" s="148" t="s">
        <v>409</v>
      </c>
      <c r="B33" s="98">
        <v>315</v>
      </c>
      <c r="C33" s="99">
        <v>369.4</v>
      </c>
      <c r="D33" s="98">
        <v>374</v>
      </c>
      <c r="E33" s="174">
        <f t="shared" si="0"/>
        <v>59</v>
      </c>
      <c r="F33" s="147" t="s">
        <v>588</v>
      </c>
    </row>
    <row r="34" spans="1:6" ht="31.5" x14ac:dyDescent="0.25">
      <c r="A34" s="148" t="s">
        <v>587</v>
      </c>
      <c r="B34" s="98">
        <v>1707</v>
      </c>
      <c r="C34" s="99">
        <v>1347.9</v>
      </c>
      <c r="D34" s="98">
        <v>1739</v>
      </c>
      <c r="E34" s="174">
        <f t="shared" si="0"/>
        <v>32</v>
      </c>
      <c r="F34" s="147" t="s">
        <v>589</v>
      </c>
    </row>
    <row r="35" spans="1:6" ht="63" x14ac:dyDescent="0.25">
      <c r="A35" s="148" t="s">
        <v>388</v>
      </c>
      <c r="B35" s="98">
        <v>37848</v>
      </c>
      <c r="C35" s="99">
        <v>25463.7</v>
      </c>
      <c r="D35" s="98">
        <v>25738</v>
      </c>
      <c r="E35" s="174">
        <f t="shared" si="0"/>
        <v>-12110</v>
      </c>
      <c r="F35" s="147" t="s">
        <v>590</v>
      </c>
    </row>
    <row r="36" spans="1:6" ht="63" x14ac:dyDescent="0.25">
      <c r="A36" s="148" t="s">
        <v>591</v>
      </c>
      <c r="B36" s="98">
        <v>11476</v>
      </c>
      <c r="C36" s="99">
        <v>8957.2000000000007</v>
      </c>
      <c r="D36" s="98">
        <v>12309</v>
      </c>
      <c r="E36" s="174">
        <f t="shared" si="0"/>
        <v>833</v>
      </c>
      <c r="F36" s="147" t="s">
        <v>592</v>
      </c>
    </row>
    <row r="37" spans="1:6" ht="63" x14ac:dyDescent="0.25">
      <c r="A37" s="148" t="s">
        <v>410</v>
      </c>
      <c r="B37" s="98">
        <v>8470</v>
      </c>
      <c r="C37" s="99">
        <v>8529.7000000000007</v>
      </c>
      <c r="D37" s="98">
        <v>9328</v>
      </c>
      <c r="E37" s="174">
        <f t="shared" si="0"/>
        <v>858</v>
      </c>
      <c r="F37" s="147" t="s">
        <v>593</v>
      </c>
    </row>
    <row r="38" spans="1:6" ht="157.5" x14ac:dyDescent="0.25">
      <c r="A38" s="148" t="s">
        <v>411</v>
      </c>
      <c r="B38" s="98">
        <v>2</v>
      </c>
      <c r="C38" s="98">
        <v>3</v>
      </c>
      <c r="D38" s="98">
        <v>3</v>
      </c>
      <c r="E38" s="174">
        <f t="shared" si="0"/>
        <v>1</v>
      </c>
      <c r="F38" s="147" t="s">
        <v>594</v>
      </c>
    </row>
    <row r="39" spans="1:6" ht="63" x14ac:dyDescent="0.25">
      <c r="A39" s="148" t="s">
        <v>412</v>
      </c>
      <c r="B39" s="98">
        <v>5333</v>
      </c>
      <c r="C39" s="99">
        <v>6038.1</v>
      </c>
      <c r="D39" s="98">
        <v>6597</v>
      </c>
      <c r="E39" s="174">
        <f t="shared" si="0"/>
        <v>1264</v>
      </c>
      <c r="F39" s="147" t="s">
        <v>595</v>
      </c>
    </row>
    <row r="40" spans="1:6" ht="47.25" x14ac:dyDescent="0.25">
      <c r="A40" s="148" t="s">
        <v>47</v>
      </c>
      <c r="B40" s="98">
        <v>266</v>
      </c>
      <c r="C40" s="99">
        <v>373.1</v>
      </c>
      <c r="D40" s="98">
        <v>412</v>
      </c>
      <c r="E40" s="174">
        <f t="shared" si="0"/>
        <v>146</v>
      </c>
      <c r="F40" s="147" t="s">
        <v>596</v>
      </c>
    </row>
    <row r="41" spans="1:6" ht="157.5" x14ac:dyDescent="0.25">
      <c r="A41" s="148" t="s">
        <v>413</v>
      </c>
      <c r="B41" s="98">
        <v>354</v>
      </c>
      <c r="C41" s="98">
        <v>464</v>
      </c>
      <c r="D41" s="98">
        <v>523</v>
      </c>
      <c r="E41" s="174">
        <f t="shared" si="0"/>
        <v>169</v>
      </c>
      <c r="F41" s="147" t="s">
        <v>597</v>
      </c>
    </row>
    <row r="42" spans="1:6" ht="141.75" x14ac:dyDescent="0.25">
      <c r="A42" s="148" t="s">
        <v>414</v>
      </c>
      <c r="B42" s="98">
        <v>217</v>
      </c>
      <c r="C42" s="99">
        <v>183.3</v>
      </c>
      <c r="D42" s="98">
        <v>187</v>
      </c>
      <c r="E42" s="174">
        <f t="shared" si="0"/>
        <v>-30</v>
      </c>
      <c r="F42" s="147" t="s">
        <v>598</v>
      </c>
    </row>
    <row r="43" spans="1:6" ht="47.25" x14ac:dyDescent="0.25">
      <c r="A43" s="148" t="s">
        <v>415</v>
      </c>
      <c r="B43" s="98">
        <v>50</v>
      </c>
      <c r="C43" s="99">
        <v>40</v>
      </c>
      <c r="D43" s="98">
        <v>45</v>
      </c>
      <c r="E43" s="174">
        <f t="shared" si="0"/>
        <v>-5</v>
      </c>
      <c r="F43" s="147" t="s">
        <v>599</v>
      </c>
    </row>
    <row r="44" spans="1:6" ht="126" x14ac:dyDescent="0.25">
      <c r="A44" s="148" t="s">
        <v>389</v>
      </c>
      <c r="B44" s="98">
        <v>42138</v>
      </c>
      <c r="C44" s="99">
        <v>27828.1</v>
      </c>
      <c r="D44" s="98">
        <v>32784</v>
      </c>
      <c r="E44" s="174">
        <f t="shared" si="0"/>
        <v>-9354</v>
      </c>
      <c r="F44" s="147" t="s">
        <v>600</v>
      </c>
    </row>
    <row r="45" spans="1:6" ht="126" x14ac:dyDescent="0.25">
      <c r="A45" s="148" t="s">
        <v>416</v>
      </c>
      <c r="B45" s="98">
        <v>78</v>
      </c>
      <c r="C45" s="98">
        <v>84</v>
      </c>
      <c r="D45" s="98">
        <v>84</v>
      </c>
      <c r="E45" s="174">
        <f t="shared" si="0"/>
        <v>6</v>
      </c>
      <c r="F45" s="147" t="s">
        <v>435</v>
      </c>
    </row>
    <row r="46" spans="1:6" ht="94.5" x14ac:dyDescent="0.25">
      <c r="A46" s="148" t="s">
        <v>417</v>
      </c>
      <c r="B46" s="98">
        <v>484</v>
      </c>
      <c r="C46" s="98">
        <v>421</v>
      </c>
      <c r="D46" s="98">
        <v>464</v>
      </c>
      <c r="E46" s="174">
        <f t="shared" si="0"/>
        <v>-20</v>
      </c>
      <c r="F46" s="147" t="s">
        <v>601</v>
      </c>
    </row>
    <row r="47" spans="1:6" ht="47.25" x14ac:dyDescent="0.25">
      <c r="A47" s="148" t="s">
        <v>418</v>
      </c>
      <c r="B47" s="98">
        <v>17562</v>
      </c>
      <c r="C47" s="99">
        <v>15578.5</v>
      </c>
      <c r="D47" s="98">
        <v>16980</v>
      </c>
      <c r="E47" s="174">
        <f t="shared" si="0"/>
        <v>-582</v>
      </c>
      <c r="F47" s="147" t="s">
        <v>602</v>
      </c>
    </row>
    <row r="48" spans="1:6" ht="78.75" x14ac:dyDescent="0.25">
      <c r="A48" s="148" t="s">
        <v>419</v>
      </c>
      <c r="B48" s="98">
        <v>186</v>
      </c>
      <c r="C48" s="99">
        <v>124.4</v>
      </c>
      <c r="D48" s="98">
        <v>125</v>
      </c>
      <c r="E48" s="174">
        <f t="shared" si="0"/>
        <v>-61</v>
      </c>
      <c r="F48" s="147" t="s">
        <v>603</v>
      </c>
    </row>
    <row r="49" spans="1:6" ht="157.5" x14ac:dyDescent="0.25">
      <c r="A49" s="148" t="s">
        <v>420</v>
      </c>
      <c r="B49" s="98">
        <v>3387</v>
      </c>
      <c r="C49" s="99">
        <v>3216.1</v>
      </c>
      <c r="D49" s="98">
        <v>3553</v>
      </c>
      <c r="E49" s="174">
        <f t="shared" si="0"/>
        <v>166</v>
      </c>
      <c r="F49" s="147" t="s">
        <v>604</v>
      </c>
    </row>
    <row r="50" spans="1:6" ht="47.25" x14ac:dyDescent="0.25">
      <c r="A50" s="148" t="s">
        <v>19</v>
      </c>
      <c r="B50" s="98">
        <v>688</v>
      </c>
      <c r="C50" s="99">
        <v>830.4</v>
      </c>
      <c r="D50" s="98">
        <v>831</v>
      </c>
      <c r="E50" s="174">
        <f t="shared" si="0"/>
        <v>143</v>
      </c>
      <c r="F50" s="147" t="s">
        <v>605</v>
      </c>
    </row>
    <row r="51" spans="1:6" ht="31.5" x14ac:dyDescent="0.25">
      <c r="A51" s="148" t="s">
        <v>421</v>
      </c>
      <c r="B51" s="98">
        <v>194</v>
      </c>
      <c r="C51" s="99">
        <v>115.5</v>
      </c>
      <c r="D51" s="98">
        <v>115</v>
      </c>
      <c r="E51" s="174">
        <f t="shared" si="0"/>
        <v>-79</v>
      </c>
      <c r="F51" s="147" t="s">
        <v>606</v>
      </c>
    </row>
    <row r="52" spans="1:6" ht="31.5" x14ac:dyDescent="0.25">
      <c r="A52" s="148" t="s">
        <v>422</v>
      </c>
      <c r="B52" s="98">
        <v>1599</v>
      </c>
      <c r="C52" s="99">
        <v>1943.5</v>
      </c>
      <c r="D52" s="98">
        <v>1934</v>
      </c>
      <c r="E52" s="174">
        <f t="shared" si="0"/>
        <v>335</v>
      </c>
      <c r="F52" s="147" t="s">
        <v>607</v>
      </c>
    </row>
    <row r="53" spans="1:6" ht="31.5" x14ac:dyDescent="0.25">
      <c r="A53" s="148" t="s">
        <v>423</v>
      </c>
      <c r="B53" s="98">
        <v>155</v>
      </c>
      <c r="C53" s="99">
        <v>153.80000000000001</v>
      </c>
      <c r="D53" s="98">
        <v>181</v>
      </c>
      <c r="E53" s="174">
        <f t="shared" si="0"/>
        <v>26</v>
      </c>
      <c r="F53" s="147" t="s">
        <v>608</v>
      </c>
    </row>
    <row r="54" spans="1:6" ht="46.5" customHeight="1" x14ac:dyDescent="0.25">
      <c r="A54" s="148" t="s">
        <v>424</v>
      </c>
      <c r="B54" s="98">
        <v>1374.3999999999999</v>
      </c>
      <c r="C54" s="99">
        <v>790.2</v>
      </c>
      <c r="D54" s="98">
        <v>916.4</v>
      </c>
      <c r="E54" s="174">
        <f t="shared" si="0"/>
        <v>-457.99999999999989</v>
      </c>
      <c r="F54" s="147" t="s">
        <v>609</v>
      </c>
    </row>
    <row r="55" spans="1:6" ht="61.5" customHeight="1" x14ac:dyDescent="0.25">
      <c r="A55" s="148" t="s">
        <v>425</v>
      </c>
      <c r="B55" s="98">
        <v>1635</v>
      </c>
      <c r="C55" s="99">
        <v>1409.8</v>
      </c>
      <c r="D55" s="98">
        <v>1712</v>
      </c>
      <c r="E55" s="174">
        <f t="shared" si="0"/>
        <v>77</v>
      </c>
      <c r="F55" s="147" t="s">
        <v>610</v>
      </c>
    </row>
    <row r="56" spans="1:6" ht="31.5" x14ac:dyDescent="0.25">
      <c r="A56" s="148" t="s">
        <v>426</v>
      </c>
      <c r="B56" s="98">
        <v>4778.7</v>
      </c>
      <c r="C56" s="99">
        <v>20536.2</v>
      </c>
      <c r="D56" s="98">
        <f>6145.6+10.2</f>
        <v>6155.8</v>
      </c>
      <c r="E56" s="174">
        <f>D56-B56</f>
        <v>1377.1000000000004</v>
      </c>
      <c r="F56" s="147" t="s">
        <v>630</v>
      </c>
    </row>
    <row r="57" spans="1:6" ht="31.5" x14ac:dyDescent="0.25">
      <c r="A57" s="148" t="s">
        <v>427</v>
      </c>
      <c r="B57" s="98">
        <v>430</v>
      </c>
      <c r="C57" s="99">
        <v>336.8</v>
      </c>
      <c r="D57" s="98">
        <v>377</v>
      </c>
      <c r="E57" s="174">
        <f t="shared" si="0"/>
        <v>-53</v>
      </c>
      <c r="F57" s="147" t="s">
        <v>611</v>
      </c>
    </row>
    <row r="58" spans="1:6" ht="126" x14ac:dyDescent="0.25">
      <c r="A58" s="148" t="s">
        <v>428</v>
      </c>
      <c r="B58" s="98">
        <v>0</v>
      </c>
      <c r="C58" s="99">
        <v>6.1</v>
      </c>
      <c r="D58" s="98">
        <v>6</v>
      </c>
      <c r="E58" s="174">
        <f t="shared" si="0"/>
        <v>6</v>
      </c>
      <c r="F58" s="147" t="s">
        <v>612</v>
      </c>
    </row>
    <row r="59" spans="1:6" ht="126" x14ac:dyDescent="0.25">
      <c r="A59" s="148" t="s">
        <v>429</v>
      </c>
      <c r="B59" s="98">
        <v>5000</v>
      </c>
      <c r="C59" s="99">
        <v>2533.8000000000002</v>
      </c>
      <c r="D59" s="98">
        <v>3534</v>
      </c>
      <c r="E59" s="174">
        <f t="shared" si="0"/>
        <v>-1466</v>
      </c>
      <c r="F59" s="147" t="s">
        <v>613</v>
      </c>
    </row>
    <row r="60" spans="1:6" ht="78.75" x14ac:dyDescent="0.25">
      <c r="A60" s="148" t="s">
        <v>78</v>
      </c>
      <c r="B60" s="98">
        <v>5867</v>
      </c>
      <c r="C60" s="99">
        <v>1666.2</v>
      </c>
      <c r="D60" s="98">
        <v>1963</v>
      </c>
      <c r="E60" s="174">
        <f t="shared" si="0"/>
        <v>-3904</v>
      </c>
      <c r="F60" s="147" t="s">
        <v>614</v>
      </c>
    </row>
    <row r="61" spans="1:6" ht="126" x14ac:dyDescent="0.25">
      <c r="A61" s="148" t="s">
        <v>615</v>
      </c>
      <c r="B61" s="98">
        <v>0</v>
      </c>
      <c r="C61" s="99">
        <v>80.5</v>
      </c>
      <c r="D61" s="98">
        <v>81</v>
      </c>
      <c r="E61" s="174">
        <f t="shared" si="0"/>
        <v>81</v>
      </c>
      <c r="F61" s="147" t="s">
        <v>616</v>
      </c>
    </row>
    <row r="62" spans="1:6" ht="156" x14ac:dyDescent="0.25">
      <c r="A62" s="149" t="s">
        <v>430</v>
      </c>
      <c r="B62" s="98">
        <v>410</v>
      </c>
      <c r="C62" s="99">
        <v>178.3</v>
      </c>
      <c r="D62" s="98">
        <v>211</v>
      </c>
      <c r="E62" s="174">
        <f t="shared" si="0"/>
        <v>-199</v>
      </c>
      <c r="F62" s="147" t="s">
        <v>617</v>
      </c>
    </row>
    <row r="63" spans="1:6" ht="78.75" x14ac:dyDescent="0.25">
      <c r="A63" s="148" t="s">
        <v>215</v>
      </c>
      <c r="B63" s="98">
        <v>20</v>
      </c>
      <c r="C63" s="99">
        <v>16.899999999999999</v>
      </c>
      <c r="D63" s="98">
        <v>21</v>
      </c>
      <c r="E63" s="174">
        <f t="shared" si="0"/>
        <v>1</v>
      </c>
      <c r="F63" s="147" t="s">
        <v>618</v>
      </c>
    </row>
    <row r="64" spans="1:6" ht="94.5" x14ac:dyDescent="0.25">
      <c r="A64" s="148" t="s">
        <v>49</v>
      </c>
      <c r="B64" s="98">
        <v>377</v>
      </c>
      <c r="C64" s="99">
        <v>259.5</v>
      </c>
      <c r="D64" s="98">
        <v>299</v>
      </c>
      <c r="E64" s="174">
        <f t="shared" si="0"/>
        <v>-78</v>
      </c>
      <c r="F64" s="147" t="s">
        <v>619</v>
      </c>
    </row>
    <row r="65" spans="1:8" ht="78.75" x14ac:dyDescent="0.25">
      <c r="A65" s="148" t="s">
        <v>219</v>
      </c>
      <c r="B65" s="98">
        <v>7</v>
      </c>
      <c r="C65" s="98">
        <v>10</v>
      </c>
      <c r="D65" s="98">
        <v>10</v>
      </c>
      <c r="E65" s="174">
        <f t="shared" si="0"/>
        <v>3</v>
      </c>
      <c r="F65" s="147" t="s">
        <v>431</v>
      </c>
    </row>
    <row r="66" spans="1:8" ht="47.25" x14ac:dyDescent="0.25">
      <c r="A66" s="148" t="s">
        <v>432</v>
      </c>
      <c r="B66" s="98">
        <v>236</v>
      </c>
      <c r="C66" s="99">
        <v>201.8</v>
      </c>
      <c r="D66" s="98">
        <v>202</v>
      </c>
      <c r="E66" s="174">
        <f t="shared" si="0"/>
        <v>-34</v>
      </c>
      <c r="F66" s="147" t="s">
        <v>433</v>
      </c>
    </row>
    <row r="67" spans="1:8" ht="31.5" x14ac:dyDescent="0.25">
      <c r="A67" s="148" t="s">
        <v>434</v>
      </c>
      <c r="B67" s="98">
        <v>85</v>
      </c>
      <c r="C67" s="99">
        <v>80.3</v>
      </c>
      <c r="D67" s="98">
        <v>83</v>
      </c>
      <c r="E67" s="174">
        <f t="shared" si="0"/>
        <v>-2</v>
      </c>
      <c r="F67" s="147" t="s">
        <v>620</v>
      </c>
    </row>
    <row r="68" spans="1:8" ht="94.5" x14ac:dyDescent="0.25">
      <c r="A68" s="148" t="s">
        <v>436</v>
      </c>
      <c r="B68" s="98">
        <v>1641</v>
      </c>
      <c r="C68" s="99">
        <v>1200.8</v>
      </c>
      <c r="D68" s="98">
        <v>1335</v>
      </c>
      <c r="E68" s="174">
        <f t="shared" si="0"/>
        <v>-306</v>
      </c>
      <c r="F68" s="147" t="s">
        <v>621</v>
      </c>
    </row>
    <row r="69" spans="1:8" ht="94.5" x14ac:dyDescent="0.25">
      <c r="A69" s="148" t="s">
        <v>437</v>
      </c>
      <c r="B69" s="98">
        <v>0</v>
      </c>
      <c r="C69" s="98">
        <v>20</v>
      </c>
      <c r="D69" s="98">
        <v>20</v>
      </c>
      <c r="E69" s="174">
        <f t="shared" si="0"/>
        <v>20</v>
      </c>
      <c r="F69" s="147" t="s">
        <v>622</v>
      </c>
    </row>
    <row r="70" spans="1:8" ht="47.25" x14ac:dyDescent="0.25">
      <c r="A70" s="148" t="s">
        <v>438</v>
      </c>
      <c r="B70" s="98">
        <v>189</v>
      </c>
      <c r="C70" s="99">
        <v>30.8</v>
      </c>
      <c r="D70" s="98">
        <v>112</v>
      </c>
      <c r="E70" s="174">
        <f t="shared" si="0"/>
        <v>-77</v>
      </c>
      <c r="F70" s="147" t="s">
        <v>623</v>
      </c>
    </row>
    <row r="71" spans="1:8" ht="110.25" x14ac:dyDescent="0.25">
      <c r="A71" s="148" t="s">
        <v>439</v>
      </c>
      <c r="B71" s="98">
        <v>2108</v>
      </c>
      <c r="C71" s="99">
        <v>809.9</v>
      </c>
      <c r="D71" s="98">
        <v>813</v>
      </c>
      <c r="E71" s="175">
        <f t="shared" si="0"/>
        <v>-1295</v>
      </c>
      <c r="F71" s="147" t="s">
        <v>624</v>
      </c>
    </row>
    <row r="72" spans="1:8" ht="110.25" x14ac:dyDescent="0.25">
      <c r="A72" s="148" t="s">
        <v>24</v>
      </c>
      <c r="B72" s="98">
        <v>194</v>
      </c>
      <c r="C72" s="99">
        <v>159.30000000000001</v>
      </c>
      <c r="D72" s="98">
        <v>174</v>
      </c>
      <c r="E72" s="175">
        <f t="shared" si="0"/>
        <v>-20</v>
      </c>
      <c r="F72" s="147" t="s">
        <v>625</v>
      </c>
    </row>
    <row r="73" spans="1:8" ht="94.5" x14ac:dyDescent="0.25">
      <c r="A73" s="148" t="s">
        <v>440</v>
      </c>
      <c r="B73" s="98">
        <v>66</v>
      </c>
      <c r="C73" s="99">
        <v>50.1</v>
      </c>
      <c r="D73" s="98">
        <v>63</v>
      </c>
      <c r="E73" s="175">
        <f t="shared" si="0"/>
        <v>-3</v>
      </c>
      <c r="F73" s="147" t="s">
        <v>626</v>
      </c>
    </row>
    <row r="74" spans="1:8" ht="63" x14ac:dyDescent="0.25">
      <c r="A74" s="148" t="s">
        <v>33</v>
      </c>
      <c r="B74" s="98">
        <v>3839</v>
      </c>
      <c r="C74" s="99">
        <v>2175.6999999999998</v>
      </c>
      <c r="D74" s="98">
        <v>2379</v>
      </c>
      <c r="E74" s="175">
        <f t="shared" si="0"/>
        <v>-1460</v>
      </c>
      <c r="F74" s="147" t="s">
        <v>627</v>
      </c>
    </row>
    <row r="75" spans="1:8" ht="18.75" x14ac:dyDescent="0.25">
      <c r="A75" s="101" t="s">
        <v>252</v>
      </c>
      <c r="B75" s="98"/>
      <c r="C75" s="99"/>
      <c r="D75" s="98"/>
      <c r="E75" s="176">
        <f>SUM(E17:E74)</f>
        <v>-3517.3999999999996</v>
      </c>
      <c r="F75" s="100"/>
      <c r="H75" s="105">
        <v>-3517.4</v>
      </c>
    </row>
    <row r="76" spans="1:8" ht="18.75" x14ac:dyDescent="0.25">
      <c r="A76" s="142"/>
      <c r="B76" s="143"/>
      <c r="C76" s="144"/>
      <c r="D76" s="143"/>
      <c r="E76" s="145"/>
      <c r="F76" s="146"/>
    </row>
    <row r="77" spans="1:8" ht="13.5" customHeight="1" x14ac:dyDescent="0.3">
      <c r="A77" s="93"/>
      <c r="B77" s="94"/>
      <c r="C77" s="94"/>
      <c r="D77" s="94"/>
      <c r="E77" s="94"/>
      <c r="F77" s="95"/>
    </row>
    <row r="78" spans="1:8" ht="67.5" customHeight="1" x14ac:dyDescent="0.25">
      <c r="A78" s="297" t="s">
        <v>565</v>
      </c>
      <c r="B78" s="297"/>
      <c r="C78" s="297"/>
      <c r="D78" s="297"/>
      <c r="E78" s="297"/>
      <c r="F78" s="297"/>
      <c r="H78" s="105">
        <f>50-59.2</f>
        <v>-9.2000000000000028</v>
      </c>
    </row>
    <row r="79" spans="1:8" ht="19.5" customHeight="1" x14ac:dyDescent="0.25">
      <c r="A79" s="297"/>
      <c r="B79" s="297"/>
      <c r="C79" s="297"/>
      <c r="D79" s="297"/>
      <c r="E79" s="297"/>
      <c r="F79" s="297"/>
      <c r="H79" s="105"/>
    </row>
    <row r="80" spans="1:8" ht="38.25" hidden="1" customHeight="1" x14ac:dyDescent="0.25">
      <c r="A80" s="297"/>
      <c r="B80" s="297"/>
      <c r="C80" s="297"/>
      <c r="D80" s="297"/>
      <c r="E80" s="297"/>
      <c r="F80" s="297"/>
    </row>
    <row r="81" spans="1:8" ht="18.75" hidden="1" customHeight="1" x14ac:dyDescent="0.25">
      <c r="A81" s="294"/>
      <c r="B81" s="294"/>
      <c r="C81" s="294"/>
      <c r="D81" s="294"/>
      <c r="E81" s="294"/>
      <c r="F81" s="294"/>
    </row>
    <row r="82" spans="1:8" ht="22.5" customHeight="1" x14ac:dyDescent="0.3">
      <c r="A82" s="287" t="s">
        <v>628</v>
      </c>
      <c r="B82" s="287"/>
      <c r="C82" s="287"/>
      <c r="D82" s="287"/>
      <c r="F82" s="90"/>
      <c r="H82" s="153">
        <f>H75+H78</f>
        <v>-3526.6</v>
      </c>
    </row>
    <row r="83" spans="1:8" ht="18.75" hidden="1" x14ac:dyDescent="0.25">
      <c r="A83" s="288" t="s">
        <v>289</v>
      </c>
      <c r="B83" s="288"/>
      <c r="C83" s="288"/>
      <c r="D83" s="288"/>
      <c r="E83" s="288"/>
      <c r="F83" s="288"/>
    </row>
    <row r="84" spans="1:8" ht="18.75" hidden="1" x14ac:dyDescent="0.25">
      <c r="A84" s="288" t="s">
        <v>290</v>
      </c>
      <c r="B84" s="288"/>
      <c r="C84" s="288"/>
      <c r="D84" s="288"/>
      <c r="E84" s="288"/>
      <c r="F84" s="288"/>
    </row>
    <row r="85" spans="1:8" ht="18.75" x14ac:dyDescent="0.25">
      <c r="A85" s="163"/>
      <c r="B85" s="163"/>
      <c r="C85" s="163"/>
      <c r="D85" s="163"/>
      <c r="E85" s="163"/>
      <c r="F85" s="163"/>
    </row>
    <row r="86" spans="1:8" ht="17.25" customHeight="1" x14ac:dyDescent="0.3">
      <c r="A86" s="289" t="s">
        <v>246</v>
      </c>
      <c r="B86" s="289"/>
      <c r="C86" s="289"/>
      <c r="D86" s="289"/>
      <c r="E86" s="289"/>
      <c r="F86" s="289"/>
    </row>
    <row r="87" spans="1:8" ht="78.75" customHeight="1" x14ac:dyDescent="0.3">
      <c r="A87" s="268" t="s">
        <v>566</v>
      </c>
      <c r="B87" s="268"/>
      <c r="C87" s="268"/>
      <c r="D87" s="268"/>
      <c r="E87" s="268"/>
      <c r="F87" s="268"/>
      <c r="H87" s="79"/>
    </row>
    <row r="88" spans="1:8" ht="21" customHeight="1" x14ac:dyDescent="0.3">
      <c r="A88" s="269" t="s">
        <v>31</v>
      </c>
      <c r="B88" s="269"/>
      <c r="C88" s="269"/>
      <c r="D88" s="269"/>
      <c r="E88" s="269"/>
      <c r="F88" s="269"/>
      <c r="H88" s="79"/>
    </row>
    <row r="89" spans="1:8" ht="22.5" customHeight="1" x14ac:dyDescent="0.3">
      <c r="A89" s="268" t="s">
        <v>302</v>
      </c>
      <c r="B89" s="268"/>
      <c r="C89" s="268"/>
      <c r="D89" s="268"/>
      <c r="E89" s="268"/>
      <c r="F89" s="268"/>
      <c r="H89" s="79"/>
    </row>
    <row r="90" spans="1:8" ht="147" customHeight="1" x14ac:dyDescent="0.3">
      <c r="A90" s="268" t="s">
        <v>514</v>
      </c>
      <c r="B90" s="268"/>
      <c r="C90" s="268"/>
      <c r="D90" s="268"/>
      <c r="E90" s="268"/>
      <c r="F90" s="268"/>
      <c r="H90" s="79"/>
    </row>
    <row r="91" spans="1:8" ht="111.75" customHeight="1" x14ac:dyDescent="0.3">
      <c r="A91" s="268" t="s">
        <v>477</v>
      </c>
      <c r="B91" s="268"/>
      <c r="C91" s="268"/>
      <c r="D91" s="268"/>
      <c r="E91" s="268"/>
      <c r="F91" s="268"/>
      <c r="H91" s="79"/>
    </row>
    <row r="92" spans="1:8" ht="77.25" customHeight="1" x14ac:dyDescent="0.3">
      <c r="A92" s="268" t="s">
        <v>497</v>
      </c>
      <c r="B92" s="268"/>
      <c r="C92" s="268"/>
      <c r="D92" s="268"/>
      <c r="E92" s="268"/>
      <c r="F92" s="268"/>
      <c r="H92" s="79"/>
    </row>
    <row r="93" spans="1:8" ht="57" customHeight="1" x14ac:dyDescent="0.3">
      <c r="A93" s="268" t="s">
        <v>479</v>
      </c>
      <c r="B93" s="268"/>
      <c r="C93" s="268"/>
      <c r="D93" s="268"/>
      <c r="E93" s="268"/>
      <c r="F93" s="268"/>
      <c r="H93" s="79"/>
    </row>
    <row r="94" spans="1:8" ht="25.5" customHeight="1" x14ac:dyDescent="0.3">
      <c r="A94" s="269" t="s">
        <v>85</v>
      </c>
      <c r="B94" s="269"/>
      <c r="C94" s="269"/>
      <c r="D94" s="269"/>
      <c r="E94" s="269"/>
      <c r="F94" s="269"/>
      <c r="H94" s="79"/>
    </row>
    <row r="95" spans="1:8" ht="22.5" customHeight="1" x14ac:dyDescent="0.3">
      <c r="A95" s="268" t="s">
        <v>302</v>
      </c>
      <c r="B95" s="268"/>
      <c r="C95" s="268"/>
      <c r="D95" s="268"/>
      <c r="E95" s="268"/>
      <c r="F95" s="268"/>
      <c r="H95" s="79"/>
    </row>
    <row r="96" spans="1:8" ht="94.5" customHeight="1" x14ac:dyDescent="0.3">
      <c r="A96" s="268" t="s">
        <v>515</v>
      </c>
      <c r="B96" s="268"/>
      <c r="C96" s="268"/>
      <c r="D96" s="268"/>
      <c r="E96" s="268"/>
      <c r="F96" s="268"/>
      <c r="H96" s="79"/>
    </row>
    <row r="97" spans="1:8" ht="224.25" customHeight="1" x14ac:dyDescent="0.3">
      <c r="A97" s="268" t="s">
        <v>448</v>
      </c>
      <c r="B97" s="268"/>
      <c r="C97" s="268"/>
      <c r="D97" s="268"/>
      <c r="E97" s="268"/>
      <c r="F97" s="268"/>
      <c r="H97" s="79"/>
    </row>
    <row r="98" spans="1:8" ht="214.5" customHeight="1" x14ac:dyDescent="0.3">
      <c r="A98" s="268" t="s">
        <v>455</v>
      </c>
      <c r="B98" s="268"/>
      <c r="C98" s="268"/>
      <c r="D98" s="268"/>
      <c r="E98" s="268"/>
      <c r="F98" s="268"/>
      <c r="H98" s="79"/>
    </row>
    <row r="99" spans="1:8" ht="166.5" customHeight="1" x14ac:dyDescent="0.3">
      <c r="A99" s="268" t="s">
        <v>460</v>
      </c>
      <c r="B99" s="268"/>
      <c r="C99" s="268"/>
      <c r="D99" s="268"/>
      <c r="E99" s="268"/>
      <c r="F99" s="268"/>
      <c r="H99" s="79"/>
    </row>
    <row r="100" spans="1:8" ht="225.75" customHeight="1" x14ac:dyDescent="0.3">
      <c r="A100" s="268" t="s">
        <v>468</v>
      </c>
      <c r="B100" s="268"/>
      <c r="C100" s="268"/>
      <c r="D100" s="268"/>
      <c r="E100" s="268"/>
      <c r="F100" s="268"/>
      <c r="H100" s="79"/>
    </row>
    <row r="101" spans="1:8" ht="174.75" customHeight="1" x14ac:dyDescent="0.3">
      <c r="A101" s="268" t="s">
        <v>474</v>
      </c>
      <c r="B101" s="268"/>
      <c r="C101" s="268"/>
      <c r="D101" s="268"/>
      <c r="E101" s="268"/>
      <c r="F101" s="268"/>
      <c r="H101" s="79"/>
    </row>
    <row r="102" spans="1:8" ht="168.75" customHeight="1" x14ac:dyDescent="0.3">
      <c r="A102" s="268" t="s">
        <v>476</v>
      </c>
      <c r="B102" s="268"/>
      <c r="C102" s="268"/>
      <c r="D102" s="268"/>
      <c r="E102" s="268"/>
      <c r="F102" s="268"/>
      <c r="H102" s="79"/>
    </row>
    <row r="103" spans="1:8" ht="210" customHeight="1" x14ac:dyDescent="0.3">
      <c r="A103" s="268" t="s">
        <v>550</v>
      </c>
      <c r="B103" s="268"/>
      <c r="C103" s="268"/>
      <c r="D103" s="268"/>
      <c r="E103" s="268"/>
      <c r="F103" s="268"/>
      <c r="H103" s="79"/>
    </row>
    <row r="104" spans="1:8" ht="117.75" customHeight="1" x14ac:dyDescent="0.3">
      <c r="A104" s="269" t="s">
        <v>567</v>
      </c>
      <c r="B104" s="269"/>
      <c r="C104" s="269"/>
      <c r="D104" s="269"/>
      <c r="E104" s="269"/>
      <c r="F104" s="269"/>
      <c r="H104" s="79"/>
    </row>
    <row r="105" spans="1:8" ht="21" customHeight="1" x14ac:dyDescent="0.3">
      <c r="A105" s="113"/>
      <c r="B105" s="113"/>
      <c r="C105" s="113"/>
      <c r="D105" s="113"/>
      <c r="E105" s="113"/>
      <c r="F105" s="113"/>
      <c r="H105" s="79"/>
    </row>
    <row r="106" spans="1:8" s="114" customFormat="1" ht="24" customHeight="1" x14ac:dyDescent="0.2">
      <c r="A106" s="161" t="s">
        <v>1</v>
      </c>
      <c r="B106" s="270" t="s">
        <v>2</v>
      </c>
      <c r="C106" s="270"/>
      <c r="D106" s="161" t="s">
        <v>3</v>
      </c>
      <c r="E106" s="161" t="s">
        <v>4</v>
      </c>
      <c r="F106" s="161" t="s">
        <v>5</v>
      </c>
    </row>
    <row r="107" spans="1:8" s="114" customFormat="1" ht="18.75" customHeight="1" x14ac:dyDescent="0.2">
      <c r="A107" s="247" t="s">
        <v>25</v>
      </c>
      <c r="B107" s="106" t="s">
        <v>475</v>
      </c>
      <c r="C107" s="115"/>
      <c r="D107" s="116">
        <v>143</v>
      </c>
      <c r="E107" s="117">
        <v>-23</v>
      </c>
      <c r="F107" s="117">
        <f>D107+E107</f>
        <v>120</v>
      </c>
    </row>
    <row r="108" spans="1:8" s="114" customFormat="1" ht="18.75" customHeight="1" x14ac:dyDescent="0.2">
      <c r="A108" s="248"/>
      <c r="B108" s="106" t="s">
        <v>96</v>
      </c>
      <c r="C108" s="115"/>
      <c r="D108" s="116">
        <v>43.2</v>
      </c>
      <c r="E108" s="117">
        <v>0.54251000000000005</v>
      </c>
      <c r="F108" s="117">
        <f>D108+E108</f>
        <v>43.742510000000003</v>
      </c>
    </row>
    <row r="109" spans="1:8" s="114" customFormat="1" ht="18.75" customHeight="1" x14ac:dyDescent="0.2">
      <c r="A109" s="248"/>
      <c r="B109" s="106" t="s">
        <v>51</v>
      </c>
      <c r="C109" s="115"/>
      <c r="D109" s="116">
        <v>8772.5</v>
      </c>
      <c r="E109" s="117">
        <f>108.50224+0.06037</f>
        <v>108.56261000000001</v>
      </c>
      <c r="F109" s="117">
        <f t="shared" ref="F109:F159" si="1">D109+E109</f>
        <v>8881.0626100000009</v>
      </c>
    </row>
    <row r="110" spans="1:8" s="114" customFormat="1" ht="18.75" customHeight="1" x14ac:dyDescent="0.2">
      <c r="A110" s="248"/>
      <c r="B110" s="106" t="s">
        <v>513</v>
      </c>
      <c r="C110" s="115"/>
      <c r="D110" s="116">
        <v>2.2000000000000002</v>
      </c>
      <c r="E110" s="117">
        <v>4.929E-2</v>
      </c>
      <c r="F110" s="117">
        <f t="shared" si="1"/>
        <v>2.2492900000000002</v>
      </c>
    </row>
    <row r="111" spans="1:8" s="114" customFormat="1" ht="18.75" customHeight="1" x14ac:dyDescent="0.2">
      <c r="A111" s="248"/>
      <c r="B111" s="106" t="s">
        <v>442</v>
      </c>
      <c r="C111" s="115"/>
      <c r="D111" s="116">
        <v>414.8</v>
      </c>
      <c r="E111" s="117">
        <v>35.150709999999997</v>
      </c>
      <c r="F111" s="117">
        <f t="shared" ref="F111:F150" si="2">D111+E111</f>
        <v>449.95071000000002</v>
      </c>
    </row>
    <row r="112" spans="1:8" s="114" customFormat="1" ht="18.75" customHeight="1" x14ac:dyDescent="0.2">
      <c r="A112" s="248"/>
      <c r="B112" s="106" t="s">
        <v>518</v>
      </c>
      <c r="C112" s="115"/>
      <c r="D112" s="116">
        <v>708</v>
      </c>
      <c r="E112" s="117">
        <f>-204.88+28.50549-0.03449</f>
        <v>-176.40899999999999</v>
      </c>
      <c r="F112" s="117">
        <f t="shared" ref="F112" si="3">D112+E112</f>
        <v>531.59100000000001</v>
      </c>
    </row>
    <row r="113" spans="1:6" s="114" customFormat="1" ht="18.75" customHeight="1" x14ac:dyDescent="0.2">
      <c r="A113" s="248"/>
      <c r="B113" s="106" t="s">
        <v>444</v>
      </c>
      <c r="C113" s="115"/>
      <c r="D113" s="116">
        <v>55653</v>
      </c>
      <c r="E113" s="117">
        <f>-7524.62+671.6-28.50549+0.03449</f>
        <v>-6881.4909999999991</v>
      </c>
      <c r="F113" s="117">
        <f t="shared" si="2"/>
        <v>48771.508999999998</v>
      </c>
    </row>
    <row r="114" spans="1:6" s="114" customFormat="1" ht="18.75" customHeight="1" x14ac:dyDescent="0.2">
      <c r="A114" s="248"/>
      <c r="B114" s="106" t="s">
        <v>516</v>
      </c>
      <c r="C114" s="115"/>
      <c r="D114" s="167">
        <v>0.1</v>
      </c>
      <c r="E114" s="117">
        <v>1.9400000000000001E-2</v>
      </c>
      <c r="F114" s="167">
        <f t="shared" ref="F114" si="4">D114+E114</f>
        <v>0.11940000000000001</v>
      </c>
    </row>
    <row r="115" spans="1:6" s="114" customFormat="1" ht="18.75" customHeight="1" x14ac:dyDescent="0.2">
      <c r="A115" s="248"/>
      <c r="B115" s="106" t="s">
        <v>445</v>
      </c>
      <c r="C115" s="115"/>
      <c r="D115" s="116">
        <v>10.4</v>
      </c>
      <c r="E115" s="117">
        <v>4.9805999999999999</v>
      </c>
      <c r="F115" s="117">
        <f t="shared" si="2"/>
        <v>15.380600000000001</v>
      </c>
    </row>
    <row r="116" spans="1:6" s="114" customFormat="1" ht="18.75" customHeight="1" x14ac:dyDescent="0.2">
      <c r="A116" s="248"/>
      <c r="B116" s="106" t="s">
        <v>446</v>
      </c>
      <c r="C116" s="115"/>
      <c r="D116" s="116">
        <v>257.3</v>
      </c>
      <c r="E116" s="117">
        <v>-44</v>
      </c>
      <c r="F116" s="117">
        <f t="shared" si="2"/>
        <v>213.3</v>
      </c>
    </row>
    <row r="117" spans="1:6" s="114" customFormat="1" ht="18.75" customHeight="1" x14ac:dyDescent="0.2">
      <c r="A117" s="248"/>
      <c r="B117" s="106" t="s">
        <v>447</v>
      </c>
      <c r="C117" s="115"/>
      <c r="D117" s="116">
        <v>25756.7</v>
      </c>
      <c r="E117" s="117">
        <v>-2293</v>
      </c>
      <c r="F117" s="117">
        <f t="shared" si="2"/>
        <v>23463.7</v>
      </c>
    </row>
    <row r="118" spans="1:6" s="114" customFormat="1" ht="18.75" customHeight="1" x14ac:dyDescent="0.2">
      <c r="A118" s="248"/>
      <c r="B118" s="106" t="s">
        <v>449</v>
      </c>
      <c r="C118" s="115"/>
      <c r="D118" s="116">
        <v>29.6</v>
      </c>
      <c r="E118" s="117">
        <v>-6.7</v>
      </c>
      <c r="F118" s="117">
        <f t="shared" ref="F118:F119" si="5">D118+E118</f>
        <v>22.900000000000002</v>
      </c>
    </row>
    <row r="119" spans="1:6" s="114" customFormat="1" ht="18.75" customHeight="1" x14ac:dyDescent="0.2">
      <c r="A119" s="248"/>
      <c r="B119" s="106" t="s">
        <v>450</v>
      </c>
      <c r="C119" s="115"/>
      <c r="D119" s="116">
        <v>1682.4</v>
      </c>
      <c r="E119" s="117">
        <v>-178.3</v>
      </c>
      <c r="F119" s="117">
        <f t="shared" si="5"/>
        <v>1504.1000000000001</v>
      </c>
    </row>
    <row r="120" spans="1:6" s="114" customFormat="1" ht="18.75" customHeight="1" x14ac:dyDescent="0.2">
      <c r="A120" s="248"/>
      <c r="B120" s="106" t="s">
        <v>451</v>
      </c>
      <c r="C120" s="115"/>
      <c r="D120" s="116">
        <v>112.9</v>
      </c>
      <c r="E120" s="117">
        <v>-11.2</v>
      </c>
      <c r="F120" s="117">
        <f t="shared" si="2"/>
        <v>101.7</v>
      </c>
    </row>
    <row r="121" spans="1:6" s="114" customFormat="1" ht="18.75" customHeight="1" x14ac:dyDescent="0.2">
      <c r="A121" s="248"/>
      <c r="B121" s="106" t="s">
        <v>452</v>
      </c>
      <c r="C121" s="115"/>
      <c r="D121" s="116">
        <v>8969.1</v>
      </c>
      <c r="E121" s="117">
        <v>-565.79999999999995</v>
      </c>
      <c r="F121" s="117">
        <f t="shared" si="2"/>
        <v>8403.3000000000011</v>
      </c>
    </row>
    <row r="122" spans="1:6" s="114" customFormat="1" ht="18.75" customHeight="1" x14ac:dyDescent="0.2">
      <c r="A122" s="248"/>
      <c r="B122" s="106" t="s">
        <v>499</v>
      </c>
      <c r="C122" s="115"/>
      <c r="D122" s="116">
        <v>63.9</v>
      </c>
      <c r="E122" s="117">
        <v>-3.1</v>
      </c>
      <c r="F122" s="117">
        <f t="shared" ref="F122" si="6">D122+E122</f>
        <v>60.8</v>
      </c>
    </row>
    <row r="123" spans="1:6" s="114" customFormat="1" ht="18.75" customHeight="1" x14ac:dyDescent="0.2">
      <c r="A123" s="248"/>
      <c r="B123" s="106" t="s">
        <v>102</v>
      </c>
      <c r="C123" s="115"/>
      <c r="D123" s="116">
        <v>12752.6</v>
      </c>
      <c r="E123" s="117">
        <v>-485.9</v>
      </c>
      <c r="F123" s="117">
        <f t="shared" si="2"/>
        <v>12266.7</v>
      </c>
    </row>
    <row r="124" spans="1:6" s="114" customFormat="1" ht="18.75" customHeight="1" x14ac:dyDescent="0.2">
      <c r="A124" s="248"/>
      <c r="B124" s="106" t="s">
        <v>496</v>
      </c>
      <c r="C124" s="115"/>
      <c r="D124" s="116">
        <v>4.9000000000000004</v>
      </c>
      <c r="E124" s="117">
        <v>-1</v>
      </c>
      <c r="F124" s="117">
        <f t="shared" si="2"/>
        <v>3.9000000000000004</v>
      </c>
    </row>
    <row r="125" spans="1:6" s="114" customFormat="1" ht="18.75" customHeight="1" x14ac:dyDescent="0.2">
      <c r="A125" s="248"/>
      <c r="B125" s="106" t="s">
        <v>456</v>
      </c>
      <c r="C125" s="115"/>
      <c r="D125" s="116">
        <v>457.4</v>
      </c>
      <c r="E125" s="117">
        <v>-35</v>
      </c>
      <c r="F125" s="117">
        <f t="shared" ref="F125" si="7">D125+E125</f>
        <v>422.4</v>
      </c>
    </row>
    <row r="126" spans="1:6" s="114" customFormat="1" ht="18.75" customHeight="1" x14ac:dyDescent="0.2">
      <c r="A126" s="248"/>
      <c r="B126" s="106" t="s">
        <v>457</v>
      </c>
      <c r="C126" s="115"/>
      <c r="D126" s="116">
        <v>10.199999999999999</v>
      </c>
      <c r="E126" s="117">
        <v>-6.3</v>
      </c>
      <c r="F126" s="117">
        <f t="shared" si="2"/>
        <v>3.8999999999999995</v>
      </c>
    </row>
    <row r="127" spans="1:6" s="114" customFormat="1" ht="18.75" customHeight="1" x14ac:dyDescent="0.2">
      <c r="A127" s="248"/>
      <c r="B127" s="106" t="s">
        <v>461</v>
      </c>
      <c r="C127" s="115"/>
      <c r="D127" s="116">
        <v>8.5</v>
      </c>
      <c r="E127" s="117">
        <v>-4.2</v>
      </c>
      <c r="F127" s="117">
        <f t="shared" si="2"/>
        <v>4.3</v>
      </c>
    </row>
    <row r="128" spans="1:6" s="114" customFormat="1" ht="18.75" customHeight="1" x14ac:dyDescent="0.2">
      <c r="A128" s="248"/>
      <c r="B128" s="106" t="s">
        <v>462</v>
      </c>
      <c r="C128" s="115"/>
      <c r="D128" s="116">
        <v>487.4</v>
      </c>
      <c r="E128" s="117">
        <v>-135.69999999999999</v>
      </c>
      <c r="F128" s="117">
        <f t="shared" si="2"/>
        <v>351.7</v>
      </c>
    </row>
    <row r="129" spans="1:8" s="114" customFormat="1" ht="18.75" customHeight="1" x14ac:dyDescent="0.2">
      <c r="A129" s="248"/>
      <c r="B129" s="106" t="s">
        <v>453</v>
      </c>
      <c r="C129" s="115"/>
      <c r="D129" s="116">
        <v>536</v>
      </c>
      <c r="E129" s="117">
        <v>-52</v>
      </c>
      <c r="F129" s="117">
        <f t="shared" ref="F129:F148" si="8">D129+E129</f>
        <v>484</v>
      </c>
    </row>
    <row r="130" spans="1:8" s="114" customFormat="1" ht="18.75" customHeight="1" x14ac:dyDescent="0.2">
      <c r="A130" s="248"/>
      <c r="B130" s="106" t="s">
        <v>454</v>
      </c>
      <c r="C130" s="115"/>
      <c r="D130" s="116">
        <v>89711</v>
      </c>
      <c r="E130" s="117">
        <v>-2222</v>
      </c>
      <c r="F130" s="117">
        <f t="shared" si="8"/>
        <v>87489</v>
      </c>
    </row>
    <row r="131" spans="1:8" s="114" customFormat="1" ht="18.75" customHeight="1" x14ac:dyDescent="0.2">
      <c r="A131" s="248"/>
      <c r="B131" s="106" t="s">
        <v>463</v>
      </c>
      <c r="C131" s="115"/>
      <c r="D131" s="116">
        <v>1.2</v>
      </c>
      <c r="E131" s="117">
        <v>-1.2</v>
      </c>
      <c r="F131" s="117">
        <f t="shared" si="8"/>
        <v>0</v>
      </c>
    </row>
    <row r="132" spans="1:8" s="114" customFormat="1" ht="18.75" customHeight="1" x14ac:dyDescent="0.2">
      <c r="A132" s="248"/>
      <c r="B132" s="106" t="s">
        <v>127</v>
      </c>
      <c r="C132" s="115"/>
      <c r="D132" s="116">
        <v>9050.7999999999993</v>
      </c>
      <c r="E132" s="117">
        <v>-597</v>
      </c>
      <c r="F132" s="117">
        <f t="shared" ref="F132:F133" si="9">D132+E132</f>
        <v>8453.7999999999993</v>
      </c>
    </row>
    <row r="133" spans="1:8" s="114" customFormat="1" ht="18.75" customHeight="1" x14ac:dyDescent="0.2">
      <c r="A133" s="248"/>
      <c r="B133" s="106" t="s">
        <v>502</v>
      </c>
      <c r="C133" s="115"/>
      <c r="D133" s="116">
        <v>300</v>
      </c>
      <c r="E133" s="117">
        <v>-46</v>
      </c>
      <c r="F133" s="117">
        <f t="shared" si="9"/>
        <v>254</v>
      </c>
    </row>
    <row r="134" spans="1:8" s="114" customFormat="1" ht="18.75" customHeight="1" x14ac:dyDescent="0.2">
      <c r="A134" s="248"/>
      <c r="B134" s="106" t="s">
        <v>458</v>
      </c>
      <c r="C134" s="115"/>
      <c r="D134" s="116">
        <v>20561</v>
      </c>
      <c r="E134" s="117">
        <v>-361</v>
      </c>
      <c r="F134" s="117">
        <f t="shared" si="8"/>
        <v>20200</v>
      </c>
    </row>
    <row r="135" spans="1:8" s="114" customFormat="1" ht="19.5" customHeight="1" x14ac:dyDescent="0.2">
      <c r="A135" s="248"/>
      <c r="B135" s="106" t="s">
        <v>469</v>
      </c>
      <c r="C135" s="115"/>
      <c r="D135" s="116">
        <v>1.5</v>
      </c>
      <c r="E135" s="117">
        <v>-0.45</v>
      </c>
      <c r="F135" s="117">
        <f t="shared" si="8"/>
        <v>1.05</v>
      </c>
    </row>
    <row r="136" spans="1:8" s="114" customFormat="1" ht="18.75" customHeight="1" x14ac:dyDescent="0.2">
      <c r="A136" s="248"/>
      <c r="B136" s="106" t="s">
        <v>470</v>
      </c>
      <c r="C136" s="115"/>
      <c r="D136" s="116">
        <v>93.5</v>
      </c>
      <c r="E136" s="117">
        <v>-14.05</v>
      </c>
      <c r="F136" s="117">
        <f t="shared" si="8"/>
        <v>79.45</v>
      </c>
    </row>
    <row r="137" spans="1:8" s="114" customFormat="1" ht="18.75" customHeight="1" x14ac:dyDescent="0.2">
      <c r="A137" s="248"/>
      <c r="B137" s="106" t="s">
        <v>472</v>
      </c>
      <c r="C137" s="115"/>
      <c r="D137" s="116">
        <v>6.5</v>
      </c>
      <c r="E137" s="117">
        <v>-1.65</v>
      </c>
      <c r="F137" s="117">
        <f t="shared" ref="F137:F138" si="10">D137+E137</f>
        <v>4.8499999999999996</v>
      </c>
    </row>
    <row r="138" spans="1:8" s="114" customFormat="1" ht="18.75" customHeight="1" x14ac:dyDescent="0.2">
      <c r="A138" s="248"/>
      <c r="B138" s="106" t="s">
        <v>473</v>
      </c>
      <c r="C138" s="115"/>
      <c r="D138" s="116">
        <v>1146.5</v>
      </c>
      <c r="E138" s="117">
        <v>-165.15</v>
      </c>
      <c r="F138" s="117">
        <f t="shared" si="10"/>
        <v>981.35</v>
      </c>
    </row>
    <row r="139" spans="1:8" s="114" customFormat="1" ht="18.75" customHeight="1" x14ac:dyDescent="0.2">
      <c r="A139" s="248"/>
      <c r="B139" s="106" t="s">
        <v>466</v>
      </c>
      <c r="C139" s="115"/>
      <c r="D139" s="116">
        <v>7.7</v>
      </c>
      <c r="E139" s="117">
        <v>-0.3</v>
      </c>
      <c r="F139" s="117">
        <f t="shared" si="8"/>
        <v>7.4</v>
      </c>
    </row>
    <row r="140" spans="1:8" s="114" customFormat="1" ht="18.75" customHeight="1" x14ac:dyDescent="0.2">
      <c r="A140" s="248"/>
      <c r="B140" s="106" t="s">
        <v>467</v>
      </c>
      <c r="C140" s="115"/>
      <c r="D140" s="116">
        <v>438.3</v>
      </c>
      <c r="E140" s="117">
        <v>-45.1</v>
      </c>
      <c r="F140" s="117">
        <f t="shared" ref="F140" si="11">D140+E140</f>
        <v>393.2</v>
      </c>
    </row>
    <row r="141" spans="1:8" ht="18.75" x14ac:dyDescent="0.3">
      <c r="A141" s="248"/>
      <c r="B141" s="106" t="s">
        <v>381</v>
      </c>
      <c r="C141" s="107"/>
      <c r="D141" s="126">
        <f>890.7+2.5</f>
        <v>893.2</v>
      </c>
      <c r="E141" s="141">
        <v>52.32188</v>
      </c>
      <c r="F141" s="123">
        <f t="shared" ref="F141" si="12">SUM(D141:E141)</f>
        <v>945.52188000000001</v>
      </c>
      <c r="H141" s="79"/>
    </row>
    <row r="142" spans="1:8" ht="18.75" x14ac:dyDescent="0.3">
      <c r="A142" s="248"/>
      <c r="B142" s="106" t="s">
        <v>104</v>
      </c>
      <c r="C142" s="107"/>
      <c r="D142" s="126">
        <v>92307.8</v>
      </c>
      <c r="E142" s="141">
        <f>1268-52.32188</f>
        <v>1215.67812</v>
      </c>
      <c r="F142" s="123">
        <f t="shared" ref="F142" si="13">SUM(D142:E142)</f>
        <v>93523.47812</v>
      </c>
      <c r="H142" s="79"/>
    </row>
    <row r="143" spans="1:8" s="114" customFormat="1" ht="18.75" customHeight="1" x14ac:dyDescent="0.2">
      <c r="A143" s="248"/>
      <c r="B143" s="106" t="s">
        <v>506</v>
      </c>
      <c r="C143" s="115"/>
      <c r="D143" s="116">
        <v>23.2</v>
      </c>
      <c r="E143" s="117">
        <v>-2.9</v>
      </c>
      <c r="F143" s="117">
        <f t="shared" ref="F143" si="14">D143+E143</f>
        <v>20.3</v>
      </c>
    </row>
    <row r="144" spans="1:8" s="114" customFormat="1" ht="18.75" customHeight="1" x14ac:dyDescent="0.2">
      <c r="A144" s="248"/>
      <c r="B144" s="106" t="s">
        <v>471</v>
      </c>
      <c r="C144" s="115"/>
      <c r="D144" s="116">
        <v>1311.9</v>
      </c>
      <c r="E144" s="117">
        <v>-166.1</v>
      </c>
      <c r="F144" s="117">
        <f t="shared" si="8"/>
        <v>1145.8000000000002</v>
      </c>
    </row>
    <row r="145" spans="1:6" s="114" customFormat="1" ht="18.75" customHeight="1" x14ac:dyDescent="0.2">
      <c r="A145" s="248"/>
      <c r="B145" s="106" t="s">
        <v>478</v>
      </c>
      <c r="C145" s="115"/>
      <c r="D145" s="116">
        <v>8488.7999999999993</v>
      </c>
      <c r="E145" s="117">
        <v>287.89999999999998</v>
      </c>
      <c r="F145" s="117">
        <f t="shared" si="8"/>
        <v>8776.6999999999989</v>
      </c>
    </row>
    <row r="146" spans="1:6" s="114" customFormat="1" ht="18.75" customHeight="1" x14ac:dyDescent="0.2">
      <c r="A146" s="248"/>
      <c r="B146" s="106" t="s">
        <v>443</v>
      </c>
      <c r="C146" s="115"/>
      <c r="D146" s="116">
        <v>242</v>
      </c>
      <c r="E146" s="117">
        <v>27</v>
      </c>
      <c r="F146" s="117">
        <f t="shared" si="8"/>
        <v>269</v>
      </c>
    </row>
    <row r="147" spans="1:6" s="114" customFormat="1" ht="18.75" customHeight="1" x14ac:dyDescent="0.2">
      <c r="A147" s="248"/>
      <c r="B147" s="106" t="s">
        <v>498</v>
      </c>
      <c r="C147" s="115"/>
      <c r="D147" s="116">
        <v>1</v>
      </c>
      <c r="E147" s="117">
        <v>-1</v>
      </c>
      <c r="F147" s="117">
        <f t="shared" ref="F147" si="15">D147+E147</f>
        <v>0</v>
      </c>
    </row>
    <row r="148" spans="1:6" s="114" customFormat="1" ht="18.75" customHeight="1" x14ac:dyDescent="0.2">
      <c r="A148" s="248"/>
      <c r="B148" s="106" t="s">
        <v>106</v>
      </c>
      <c r="C148" s="115"/>
      <c r="D148" s="116">
        <v>51524</v>
      </c>
      <c r="E148" s="117">
        <v>-899</v>
      </c>
      <c r="F148" s="117">
        <f t="shared" si="8"/>
        <v>50625</v>
      </c>
    </row>
    <row r="149" spans="1:6" s="114" customFormat="1" ht="18.75" customHeight="1" x14ac:dyDescent="0.2">
      <c r="A149" s="248"/>
      <c r="B149" s="106" t="s">
        <v>459</v>
      </c>
      <c r="C149" s="115"/>
      <c r="D149" s="116">
        <v>28359</v>
      </c>
      <c r="E149" s="117">
        <v>-474.2</v>
      </c>
      <c r="F149" s="117">
        <f t="shared" si="2"/>
        <v>27884.799999999999</v>
      </c>
    </row>
    <row r="150" spans="1:6" s="114" customFormat="1" ht="18.75" customHeight="1" x14ac:dyDescent="0.2">
      <c r="A150" s="248"/>
      <c r="B150" s="106" t="s">
        <v>464</v>
      </c>
      <c r="C150" s="115"/>
      <c r="D150" s="116">
        <v>46184</v>
      </c>
      <c r="E150" s="117">
        <v>-7086</v>
      </c>
      <c r="F150" s="117">
        <f t="shared" si="2"/>
        <v>39098</v>
      </c>
    </row>
    <row r="151" spans="1:6" s="114" customFormat="1" ht="18.75" customHeight="1" x14ac:dyDescent="0.2">
      <c r="A151" s="249"/>
      <c r="B151" s="106" t="s">
        <v>465</v>
      </c>
      <c r="C151" s="115"/>
      <c r="D151" s="116">
        <v>231</v>
      </c>
      <c r="E151" s="117">
        <v>-38</v>
      </c>
      <c r="F151" s="117">
        <f t="shared" si="1"/>
        <v>193</v>
      </c>
    </row>
    <row r="152" spans="1:6" s="114" customFormat="1" ht="18.75" customHeight="1" x14ac:dyDescent="0.3">
      <c r="A152" s="157" t="s">
        <v>30</v>
      </c>
      <c r="B152" s="106" t="s">
        <v>480</v>
      </c>
      <c r="C152" s="115"/>
      <c r="D152" s="116">
        <v>259000</v>
      </c>
      <c r="E152" s="117">
        <v>2693.5</v>
      </c>
      <c r="F152" s="117">
        <f t="shared" si="1"/>
        <v>261693.5</v>
      </c>
    </row>
    <row r="153" spans="1:6" s="114" customFormat="1" ht="18.75" customHeight="1" x14ac:dyDescent="0.2">
      <c r="A153" s="247" t="s">
        <v>8</v>
      </c>
      <c r="B153" s="106" t="s">
        <v>103</v>
      </c>
      <c r="C153" s="115"/>
      <c r="D153" s="116">
        <v>7586.5</v>
      </c>
      <c r="E153" s="117">
        <v>-933</v>
      </c>
      <c r="F153" s="117">
        <f t="shared" si="1"/>
        <v>6653.5</v>
      </c>
    </row>
    <row r="154" spans="1:6" s="114" customFormat="1" ht="18.75" customHeight="1" x14ac:dyDescent="0.2">
      <c r="A154" s="248"/>
      <c r="B154" s="106" t="s">
        <v>553</v>
      </c>
      <c r="C154" s="115"/>
      <c r="D154" s="116">
        <v>1560.4</v>
      </c>
      <c r="E154" s="117">
        <v>-300</v>
      </c>
      <c r="F154" s="117">
        <f t="shared" si="1"/>
        <v>1260.4000000000001</v>
      </c>
    </row>
    <row r="155" spans="1:6" s="114" customFormat="1" ht="18.75" customHeight="1" x14ac:dyDescent="0.2">
      <c r="A155" s="248"/>
      <c r="B155" s="106" t="s">
        <v>554</v>
      </c>
      <c r="C155" s="115"/>
      <c r="D155" s="116">
        <v>207</v>
      </c>
      <c r="E155" s="117">
        <v>-63</v>
      </c>
      <c r="F155" s="117">
        <f t="shared" si="1"/>
        <v>144</v>
      </c>
    </row>
    <row r="156" spans="1:6" s="114" customFormat="1" ht="18.75" customHeight="1" x14ac:dyDescent="0.2">
      <c r="A156" s="248"/>
      <c r="B156" s="106" t="s">
        <v>555</v>
      </c>
      <c r="C156" s="115"/>
      <c r="D156" s="116">
        <v>570</v>
      </c>
      <c r="E156" s="117">
        <v>-47</v>
      </c>
      <c r="F156" s="117">
        <f t="shared" ref="F156:F158" si="16">D156+E156</f>
        <v>523</v>
      </c>
    </row>
    <row r="157" spans="1:6" s="114" customFormat="1" ht="18.75" customHeight="1" x14ac:dyDescent="0.2">
      <c r="A157" s="248"/>
      <c r="B157" s="106" t="s">
        <v>556</v>
      </c>
      <c r="C157" s="115"/>
      <c r="D157" s="116">
        <v>350</v>
      </c>
      <c r="E157" s="117">
        <v>-64</v>
      </c>
      <c r="F157" s="117">
        <f t="shared" si="16"/>
        <v>286</v>
      </c>
    </row>
    <row r="158" spans="1:6" s="114" customFormat="1" ht="18.75" customHeight="1" x14ac:dyDescent="0.2">
      <c r="A158" s="248"/>
      <c r="B158" s="106" t="s">
        <v>557</v>
      </c>
      <c r="C158" s="115"/>
      <c r="D158" s="116">
        <v>35842</v>
      </c>
      <c r="E158" s="117">
        <v>-2000</v>
      </c>
      <c r="F158" s="117">
        <f t="shared" si="16"/>
        <v>33842</v>
      </c>
    </row>
    <row r="159" spans="1:6" s="114" customFormat="1" ht="18.75" customHeight="1" x14ac:dyDescent="0.2">
      <c r="A159" s="249"/>
      <c r="B159" s="106" t="s">
        <v>558</v>
      </c>
      <c r="C159" s="115"/>
      <c r="D159" s="116">
        <v>2847.4</v>
      </c>
      <c r="E159" s="117">
        <v>-205</v>
      </c>
      <c r="F159" s="117">
        <f t="shared" si="1"/>
        <v>2642.4</v>
      </c>
    </row>
    <row r="160" spans="1:6" s="114" customFormat="1" ht="18.75" customHeight="1" x14ac:dyDescent="0.2">
      <c r="A160" s="247" t="s">
        <v>26</v>
      </c>
      <c r="B160" s="106" t="s">
        <v>367</v>
      </c>
      <c r="C160" s="115"/>
      <c r="D160" s="116">
        <v>16799.5</v>
      </c>
      <c r="E160" s="117">
        <v>-937.32759999999996</v>
      </c>
      <c r="F160" s="117">
        <f>D160+E160</f>
        <v>15862.172399999999</v>
      </c>
    </row>
    <row r="161" spans="1:8" s="114" customFormat="1" ht="18.75" customHeight="1" x14ac:dyDescent="0.2">
      <c r="A161" s="248"/>
      <c r="B161" s="106" t="s">
        <v>368</v>
      </c>
      <c r="C161" s="115"/>
      <c r="D161" s="116">
        <v>5000</v>
      </c>
      <c r="E161" s="117">
        <v>-3281.9212299999999</v>
      </c>
      <c r="F161" s="117">
        <f t="shared" ref="F161:F162" si="17">D161+E161</f>
        <v>1718.0787700000001</v>
      </c>
    </row>
    <row r="162" spans="1:8" s="114" customFormat="1" ht="18.75" customHeight="1" x14ac:dyDescent="0.2">
      <c r="A162" s="248"/>
      <c r="B162" s="106" t="s">
        <v>540</v>
      </c>
      <c r="C162" s="115"/>
      <c r="D162" s="116">
        <v>62700</v>
      </c>
      <c r="E162" s="117">
        <v>-27.273</v>
      </c>
      <c r="F162" s="117">
        <f t="shared" si="17"/>
        <v>62672.726999999999</v>
      </c>
    </row>
    <row r="163" spans="1:8" s="114" customFormat="1" ht="18.75" customHeight="1" x14ac:dyDescent="0.2">
      <c r="A163" s="249"/>
      <c r="B163" s="106" t="s">
        <v>568</v>
      </c>
      <c r="C163" s="115"/>
      <c r="D163" s="116">
        <v>6975</v>
      </c>
      <c r="E163" s="117">
        <v>-6975</v>
      </c>
      <c r="F163" s="117">
        <f t="shared" ref="F163" si="18">D163+E163</f>
        <v>0</v>
      </c>
    </row>
    <row r="164" spans="1:8" ht="22.5" customHeight="1" x14ac:dyDescent="0.35">
      <c r="A164" s="80" t="s">
        <v>6</v>
      </c>
      <c r="B164" s="284"/>
      <c r="C164" s="284"/>
      <c r="D164" s="118"/>
      <c r="E164" s="119">
        <f>SUM(E107:E163)</f>
        <v>-33432.016709999996</v>
      </c>
      <c r="F164" s="118"/>
      <c r="G164" s="120"/>
      <c r="H164" s="79"/>
    </row>
    <row r="165" spans="1:8" ht="11.25" customHeight="1" x14ac:dyDescent="0.35">
      <c r="A165" s="81"/>
      <c r="B165" s="82"/>
      <c r="C165" s="82"/>
      <c r="D165" s="83"/>
      <c r="E165" s="84"/>
      <c r="F165" s="83"/>
    </row>
    <row r="166" spans="1:8" ht="22.5" customHeight="1" x14ac:dyDescent="0.3">
      <c r="A166" s="285" t="s">
        <v>291</v>
      </c>
      <c r="B166" s="285"/>
      <c r="C166" s="285"/>
      <c r="D166" s="285"/>
      <c r="E166" s="285"/>
      <c r="F166" s="285"/>
    </row>
    <row r="167" spans="1:8" ht="18" customHeight="1" x14ac:dyDescent="0.3">
      <c r="A167" s="271" t="s">
        <v>244</v>
      </c>
      <c r="B167" s="271"/>
      <c r="C167" s="271"/>
      <c r="D167" s="271"/>
      <c r="E167" s="271"/>
      <c r="F167" s="271"/>
    </row>
    <row r="168" spans="1:8" ht="60.75" customHeight="1" x14ac:dyDescent="0.3">
      <c r="A168" s="271" t="s">
        <v>491</v>
      </c>
      <c r="B168" s="271"/>
      <c r="C168" s="271"/>
      <c r="D168" s="271"/>
      <c r="E168" s="271"/>
      <c r="F168" s="271"/>
    </row>
    <row r="169" spans="1:8" ht="36" customHeight="1" x14ac:dyDescent="0.3">
      <c r="A169" s="271" t="s">
        <v>382</v>
      </c>
      <c r="B169" s="271"/>
      <c r="C169" s="271"/>
      <c r="D169" s="271"/>
      <c r="E169" s="271"/>
      <c r="F169" s="271"/>
    </row>
    <row r="170" spans="1:8" ht="138" customHeight="1" x14ac:dyDescent="0.3">
      <c r="A170" s="271" t="s">
        <v>495</v>
      </c>
      <c r="B170" s="271"/>
      <c r="C170" s="271"/>
      <c r="D170" s="271"/>
      <c r="E170" s="271"/>
      <c r="F170" s="271"/>
    </row>
    <row r="171" spans="1:8" ht="24.75" customHeight="1" x14ac:dyDescent="0.3">
      <c r="A171" s="286" t="s">
        <v>374</v>
      </c>
      <c r="B171" s="286"/>
      <c r="C171" s="286"/>
      <c r="D171" s="286"/>
      <c r="E171" s="286"/>
      <c r="F171" s="286"/>
    </row>
    <row r="172" spans="1:8" ht="36.75" customHeight="1" x14ac:dyDescent="0.3">
      <c r="A172" s="244" t="s">
        <v>383</v>
      </c>
      <c r="B172" s="244"/>
      <c r="C172" s="244"/>
      <c r="D172" s="244"/>
      <c r="E172" s="244"/>
      <c r="F172" s="244"/>
    </row>
    <row r="173" spans="1:8" ht="113.25" customHeight="1" x14ac:dyDescent="0.3">
      <c r="A173" s="283" t="s">
        <v>562</v>
      </c>
      <c r="B173" s="244"/>
      <c r="C173" s="244"/>
      <c r="D173" s="244"/>
      <c r="E173" s="244"/>
      <c r="F173" s="244"/>
    </row>
    <row r="174" spans="1:8" ht="72.75" customHeight="1" x14ac:dyDescent="0.3">
      <c r="A174" s="244" t="s">
        <v>489</v>
      </c>
      <c r="B174" s="244"/>
      <c r="C174" s="244"/>
      <c r="D174" s="244"/>
      <c r="E174" s="244"/>
      <c r="F174" s="244"/>
    </row>
    <row r="175" spans="1:8" ht="19.5" customHeight="1" x14ac:dyDescent="0.3">
      <c r="A175" s="283" t="s">
        <v>265</v>
      </c>
      <c r="B175" s="283"/>
      <c r="C175" s="283"/>
      <c r="D175" s="283"/>
      <c r="E175" s="283"/>
      <c r="F175" s="283"/>
    </row>
    <row r="176" spans="1:8" ht="40.5" customHeight="1" x14ac:dyDescent="0.3">
      <c r="A176" s="244" t="s">
        <v>548</v>
      </c>
      <c r="B176" s="244"/>
      <c r="C176" s="244"/>
      <c r="D176" s="244"/>
      <c r="E176" s="244"/>
      <c r="F176" s="244"/>
    </row>
    <row r="177" spans="1:6" ht="36.75" customHeight="1" x14ac:dyDescent="0.3">
      <c r="A177" s="244" t="s">
        <v>391</v>
      </c>
      <c r="B177" s="244"/>
      <c r="C177" s="244"/>
      <c r="D177" s="244"/>
      <c r="E177" s="244"/>
      <c r="F177" s="244"/>
    </row>
    <row r="178" spans="1:6" ht="58.5" customHeight="1" x14ac:dyDescent="0.3">
      <c r="A178" s="244" t="s">
        <v>503</v>
      </c>
      <c r="B178" s="244"/>
      <c r="C178" s="244"/>
      <c r="D178" s="244"/>
      <c r="E178" s="244"/>
      <c r="F178" s="244"/>
    </row>
    <row r="179" spans="1:6" ht="66" customHeight="1" x14ac:dyDescent="0.3">
      <c r="A179" s="244" t="s">
        <v>523</v>
      </c>
      <c r="B179" s="244"/>
      <c r="C179" s="244"/>
      <c r="D179" s="244"/>
      <c r="E179" s="244"/>
      <c r="F179" s="244"/>
    </row>
    <row r="180" spans="1:6" ht="138" customHeight="1" x14ac:dyDescent="0.3">
      <c r="A180" s="244" t="s">
        <v>544</v>
      </c>
      <c r="B180" s="244"/>
      <c r="C180" s="244"/>
      <c r="D180" s="244"/>
      <c r="E180" s="244"/>
      <c r="F180" s="244"/>
    </row>
    <row r="181" spans="1:6" ht="40.5" customHeight="1" x14ac:dyDescent="0.3">
      <c r="A181" s="244" t="s">
        <v>384</v>
      </c>
      <c r="B181" s="244"/>
      <c r="C181" s="244"/>
      <c r="D181" s="244"/>
      <c r="E181" s="244"/>
      <c r="F181" s="244"/>
    </row>
    <row r="182" spans="1:6" ht="24.75" customHeight="1" x14ac:dyDescent="0.3">
      <c r="A182" s="162" t="s">
        <v>31</v>
      </c>
      <c r="B182" s="156"/>
      <c r="C182" s="156"/>
      <c r="D182" s="156"/>
      <c r="E182" s="156"/>
      <c r="F182" s="156"/>
    </row>
    <row r="183" spans="1:6" ht="76.5" customHeight="1" x14ac:dyDescent="0.3">
      <c r="A183" s="271" t="s">
        <v>532</v>
      </c>
      <c r="B183" s="271"/>
      <c r="C183" s="271"/>
      <c r="D183" s="271"/>
      <c r="E183" s="271"/>
      <c r="F183" s="271"/>
    </row>
    <row r="184" spans="1:6" ht="36" customHeight="1" x14ac:dyDescent="0.3">
      <c r="A184" s="283" t="s">
        <v>551</v>
      </c>
      <c r="B184" s="271"/>
      <c r="C184" s="271"/>
      <c r="D184" s="271"/>
      <c r="E184" s="271"/>
      <c r="F184" s="271"/>
    </row>
    <row r="185" spans="1:6" ht="54" customHeight="1" x14ac:dyDescent="0.3">
      <c r="A185" s="244" t="s">
        <v>507</v>
      </c>
      <c r="B185" s="244"/>
      <c r="C185" s="244"/>
      <c r="D185" s="244"/>
      <c r="E185" s="244"/>
      <c r="F185" s="244"/>
    </row>
    <row r="186" spans="1:6" ht="61.5" customHeight="1" x14ac:dyDescent="0.3">
      <c r="A186" s="244" t="s">
        <v>385</v>
      </c>
      <c r="B186" s="244"/>
      <c r="C186" s="244"/>
      <c r="D186" s="244"/>
      <c r="E186" s="244"/>
      <c r="F186" s="244"/>
    </row>
    <row r="187" spans="1:6" ht="41.25" customHeight="1" x14ac:dyDescent="0.3">
      <c r="A187" s="244" t="s">
        <v>541</v>
      </c>
      <c r="B187" s="244"/>
      <c r="C187" s="244"/>
      <c r="D187" s="244"/>
      <c r="E187" s="244"/>
      <c r="F187" s="244"/>
    </row>
    <row r="188" spans="1:6" ht="78.75" customHeight="1" x14ac:dyDescent="0.3">
      <c r="A188" s="244" t="s">
        <v>570</v>
      </c>
      <c r="B188" s="244"/>
      <c r="C188" s="244"/>
      <c r="D188" s="244"/>
      <c r="E188" s="244"/>
      <c r="F188" s="244"/>
    </row>
    <row r="189" spans="1:6" ht="81" customHeight="1" x14ac:dyDescent="0.3">
      <c r="A189" s="271" t="s">
        <v>533</v>
      </c>
      <c r="B189" s="271"/>
      <c r="C189" s="271"/>
      <c r="D189" s="271"/>
      <c r="E189" s="271"/>
      <c r="F189" s="271"/>
    </row>
    <row r="190" spans="1:6" s="110" customFormat="1" ht="64.5" customHeight="1" x14ac:dyDescent="0.3">
      <c r="A190" s="273" t="s">
        <v>563</v>
      </c>
      <c r="B190" s="273"/>
      <c r="C190" s="273"/>
      <c r="D190" s="273"/>
      <c r="E190" s="273"/>
      <c r="F190" s="273"/>
    </row>
    <row r="191" spans="1:6" ht="94.5" customHeight="1" x14ac:dyDescent="0.3">
      <c r="A191" s="244" t="s">
        <v>549</v>
      </c>
      <c r="B191" s="244"/>
      <c r="C191" s="244"/>
      <c r="D191" s="244"/>
      <c r="E191" s="244"/>
      <c r="F191" s="244"/>
    </row>
    <row r="192" spans="1:6" ht="40.5" customHeight="1" x14ac:dyDescent="0.3">
      <c r="A192" s="244" t="s">
        <v>392</v>
      </c>
      <c r="B192" s="244"/>
      <c r="C192" s="244"/>
      <c r="D192" s="244"/>
      <c r="E192" s="244"/>
      <c r="F192" s="244"/>
    </row>
    <row r="193" spans="1:6" ht="40.5" customHeight="1" x14ac:dyDescent="0.3">
      <c r="A193" s="244" t="s">
        <v>517</v>
      </c>
      <c r="B193" s="244"/>
      <c r="C193" s="244"/>
      <c r="D193" s="244"/>
      <c r="E193" s="244"/>
      <c r="F193" s="244"/>
    </row>
    <row r="194" spans="1:6" ht="40.5" customHeight="1" x14ac:dyDescent="0.3">
      <c r="A194" s="244" t="s">
        <v>542</v>
      </c>
      <c r="B194" s="244"/>
      <c r="C194" s="244"/>
      <c r="D194" s="244"/>
      <c r="E194" s="244"/>
      <c r="F194" s="244"/>
    </row>
    <row r="195" spans="1:6" ht="40.5" customHeight="1" x14ac:dyDescent="0.3">
      <c r="A195" s="244" t="s">
        <v>505</v>
      </c>
      <c r="B195" s="244"/>
      <c r="C195" s="244"/>
      <c r="D195" s="244"/>
      <c r="E195" s="244"/>
      <c r="F195" s="244"/>
    </row>
    <row r="196" spans="1:6" ht="53.25" customHeight="1" x14ac:dyDescent="0.3">
      <c r="A196" s="244" t="s">
        <v>528</v>
      </c>
      <c r="B196" s="244"/>
      <c r="C196" s="244"/>
      <c r="D196" s="244"/>
      <c r="E196" s="244"/>
      <c r="F196" s="244"/>
    </row>
    <row r="197" spans="1:6" ht="40.5" customHeight="1" x14ac:dyDescent="0.3">
      <c r="A197" s="244" t="s">
        <v>519</v>
      </c>
      <c r="B197" s="244"/>
      <c r="C197" s="244"/>
      <c r="D197" s="244"/>
      <c r="E197" s="244"/>
      <c r="F197" s="244"/>
    </row>
    <row r="198" spans="1:6" ht="40.5" customHeight="1" x14ac:dyDescent="0.3">
      <c r="A198" s="244" t="s">
        <v>525</v>
      </c>
      <c r="B198" s="244"/>
      <c r="C198" s="244"/>
      <c r="D198" s="244"/>
      <c r="E198" s="244"/>
      <c r="F198" s="244"/>
    </row>
    <row r="199" spans="1:6" ht="58.5" customHeight="1" x14ac:dyDescent="0.3">
      <c r="A199" s="269" t="s">
        <v>386</v>
      </c>
      <c r="B199" s="269"/>
      <c r="C199" s="269"/>
      <c r="D199" s="269"/>
      <c r="E199" s="269"/>
      <c r="F199" s="269"/>
    </row>
    <row r="200" spans="1:6" ht="39.75" customHeight="1" x14ac:dyDescent="0.3">
      <c r="A200" s="244" t="s">
        <v>393</v>
      </c>
      <c r="B200" s="244"/>
      <c r="C200" s="244"/>
      <c r="D200" s="244"/>
      <c r="E200" s="244"/>
      <c r="F200" s="244"/>
    </row>
    <row r="201" spans="1:6" ht="42" customHeight="1" x14ac:dyDescent="0.3">
      <c r="A201" s="283" t="s">
        <v>552</v>
      </c>
      <c r="B201" s="244"/>
      <c r="C201" s="244"/>
      <c r="D201" s="244"/>
      <c r="E201" s="244"/>
      <c r="F201" s="244"/>
    </row>
    <row r="202" spans="1:6" ht="38.25" customHeight="1" x14ac:dyDescent="0.3">
      <c r="A202" s="244" t="s">
        <v>534</v>
      </c>
      <c r="B202" s="244"/>
      <c r="C202" s="244"/>
      <c r="D202" s="244"/>
      <c r="E202" s="244"/>
      <c r="F202" s="244"/>
    </row>
    <row r="203" spans="1:6" ht="38.25" customHeight="1" x14ac:dyDescent="0.3">
      <c r="A203" s="244" t="s">
        <v>569</v>
      </c>
      <c r="B203" s="244"/>
      <c r="C203" s="244"/>
      <c r="D203" s="244"/>
      <c r="E203" s="244"/>
      <c r="F203" s="244"/>
    </row>
    <row r="204" spans="1:6" ht="42" customHeight="1" x14ac:dyDescent="0.3">
      <c r="A204" s="244" t="s">
        <v>634</v>
      </c>
      <c r="B204" s="244"/>
      <c r="C204" s="244"/>
      <c r="D204" s="244"/>
      <c r="E204" s="244"/>
      <c r="F204" s="244"/>
    </row>
    <row r="205" spans="1:6" x14ac:dyDescent="0.25">
      <c r="A205" s="14"/>
      <c r="B205" s="14"/>
      <c r="C205" s="14"/>
      <c r="D205" s="14"/>
      <c r="E205" s="14"/>
      <c r="F205" s="96" t="s">
        <v>254</v>
      </c>
    </row>
    <row r="206" spans="1:6" ht="18.75" x14ac:dyDescent="0.25">
      <c r="A206" s="161" t="s">
        <v>1</v>
      </c>
      <c r="B206" s="270" t="s">
        <v>2</v>
      </c>
      <c r="C206" s="270"/>
      <c r="D206" s="161" t="s">
        <v>3</v>
      </c>
      <c r="E206" s="161" t="s">
        <v>4</v>
      </c>
      <c r="F206" s="161" t="s">
        <v>5</v>
      </c>
    </row>
    <row r="207" spans="1:6" ht="18.75" hidden="1" x14ac:dyDescent="0.25">
      <c r="A207" s="251" t="s">
        <v>30</v>
      </c>
      <c r="B207" s="106" t="s">
        <v>282</v>
      </c>
      <c r="C207" s="107"/>
      <c r="D207" s="108">
        <v>7839.6</v>
      </c>
      <c r="E207" s="108"/>
      <c r="F207" s="109">
        <f t="shared" ref="F207:F291" si="19">SUM(D207:E207)</f>
        <v>7839.6</v>
      </c>
    </row>
    <row r="208" spans="1:6" ht="18.75" x14ac:dyDescent="0.3">
      <c r="A208" s="252"/>
      <c r="B208" s="121" t="s">
        <v>283</v>
      </c>
      <c r="C208" s="122"/>
      <c r="D208" s="123">
        <v>1952.6</v>
      </c>
      <c r="E208" s="123">
        <f>-0.1-1.4-60.5</f>
        <v>-62</v>
      </c>
      <c r="F208" s="124">
        <f t="shared" si="19"/>
        <v>1890.6</v>
      </c>
    </row>
    <row r="209" spans="1:8" ht="18.75" x14ac:dyDescent="0.3">
      <c r="A209" s="252"/>
      <c r="B209" s="121" t="s">
        <v>292</v>
      </c>
      <c r="C209" s="122"/>
      <c r="D209" s="123">
        <v>36685.300000000003</v>
      </c>
      <c r="E209" s="123">
        <f>-386+1.4+0.1</f>
        <v>-384.5</v>
      </c>
      <c r="F209" s="124">
        <f t="shared" si="19"/>
        <v>36300.800000000003</v>
      </c>
    </row>
    <row r="210" spans="1:8" ht="18.75" x14ac:dyDescent="0.3">
      <c r="A210" s="252"/>
      <c r="B210" s="121" t="s">
        <v>284</v>
      </c>
      <c r="C210" s="122"/>
      <c r="D210" s="123">
        <v>20228.3</v>
      </c>
      <c r="E210" s="123">
        <f>381.4+347+455.7+126.1</f>
        <v>1310.1999999999998</v>
      </c>
      <c r="F210" s="124">
        <f t="shared" si="19"/>
        <v>21538.5</v>
      </c>
    </row>
    <row r="211" spans="1:8" ht="18.75" x14ac:dyDescent="0.3">
      <c r="A211" s="252"/>
      <c r="B211" s="121" t="s">
        <v>370</v>
      </c>
      <c r="C211" s="122"/>
      <c r="D211" s="123">
        <v>435.7</v>
      </c>
      <c r="E211" s="123">
        <v>28.9</v>
      </c>
      <c r="F211" s="124">
        <f t="shared" si="19"/>
        <v>464.59999999999997</v>
      </c>
    </row>
    <row r="212" spans="1:8" ht="18.75" x14ac:dyDescent="0.3">
      <c r="A212" s="252"/>
      <c r="B212" s="121" t="s">
        <v>371</v>
      </c>
      <c r="C212" s="122"/>
      <c r="D212" s="123">
        <v>4954.3</v>
      </c>
      <c r="E212" s="123">
        <f>-24.2-452.8+357</f>
        <v>-120</v>
      </c>
      <c r="F212" s="124">
        <f t="shared" ref="F212" si="20">SUM(D212:E212)</f>
        <v>4834.3</v>
      </c>
    </row>
    <row r="213" spans="1:8" ht="18.75" x14ac:dyDescent="0.3">
      <c r="A213" s="252"/>
      <c r="B213" s="121" t="s">
        <v>524</v>
      </c>
      <c r="C213" s="122"/>
      <c r="D213" s="123">
        <v>421.3</v>
      </c>
      <c r="E213" s="123">
        <v>14.1</v>
      </c>
      <c r="F213" s="124">
        <f t="shared" si="19"/>
        <v>435.40000000000003</v>
      </c>
    </row>
    <row r="214" spans="1:8" ht="18.75" x14ac:dyDescent="0.3">
      <c r="A214" s="252"/>
      <c r="B214" s="121" t="s">
        <v>336</v>
      </c>
      <c r="C214" s="122"/>
      <c r="D214" s="123">
        <v>358.8</v>
      </c>
      <c r="E214" s="123">
        <v>-1.7</v>
      </c>
      <c r="F214" s="124">
        <f t="shared" si="19"/>
        <v>357.1</v>
      </c>
    </row>
    <row r="215" spans="1:8" ht="18.75" x14ac:dyDescent="0.3">
      <c r="A215" s="252"/>
      <c r="B215" s="121" t="s">
        <v>337</v>
      </c>
      <c r="C215" s="122"/>
      <c r="D215" s="123">
        <v>28.1</v>
      </c>
      <c r="E215" s="123">
        <v>1.7</v>
      </c>
      <c r="F215" s="124">
        <f t="shared" si="19"/>
        <v>29.8</v>
      </c>
    </row>
    <row r="216" spans="1:8" ht="18.75" x14ac:dyDescent="0.3">
      <c r="A216" s="252"/>
      <c r="B216" s="121" t="s">
        <v>282</v>
      </c>
      <c r="C216" s="122"/>
      <c r="D216" s="123">
        <v>7839.5961900000002</v>
      </c>
      <c r="E216" s="123">
        <f>-347-7481.0962-11.5</f>
        <v>-7839.5962</v>
      </c>
      <c r="F216" s="124">
        <f t="shared" si="19"/>
        <v>-9.9999997473787516E-6</v>
      </c>
    </row>
    <row r="217" spans="1:8" ht="18.75" x14ac:dyDescent="0.3">
      <c r="A217" s="252"/>
      <c r="B217" s="121" t="s">
        <v>487</v>
      </c>
      <c r="C217" s="122"/>
      <c r="D217" s="123">
        <v>5231.1000000000004</v>
      </c>
      <c r="E217" s="123">
        <f>-23.7-150+132.8</f>
        <v>-40.899999999999977</v>
      </c>
      <c r="F217" s="124">
        <f t="shared" si="19"/>
        <v>5190.2000000000007</v>
      </c>
    </row>
    <row r="218" spans="1:8" ht="18.75" x14ac:dyDescent="0.3">
      <c r="A218" s="252"/>
      <c r="B218" s="121" t="s">
        <v>305</v>
      </c>
      <c r="C218" s="122"/>
      <c r="D218" s="123">
        <v>1579.6</v>
      </c>
      <c r="E218" s="123">
        <f>-881.6299-634.7771</f>
        <v>-1516.4070000000002</v>
      </c>
      <c r="F218" s="124">
        <f t="shared" si="19"/>
        <v>63.192999999999756</v>
      </c>
    </row>
    <row r="219" spans="1:8" ht="18.75" x14ac:dyDescent="0.3">
      <c r="A219" s="252"/>
      <c r="B219" s="121" t="s">
        <v>306</v>
      </c>
      <c r="C219" s="122"/>
      <c r="D219" s="123">
        <v>0</v>
      </c>
      <c r="E219" s="123">
        <f>1952.562+414.6</f>
        <v>2367.1619999999998</v>
      </c>
      <c r="F219" s="124">
        <f t="shared" si="19"/>
        <v>2367.1619999999998</v>
      </c>
      <c r="H219" s="79"/>
    </row>
    <row r="220" spans="1:8" ht="18.75" x14ac:dyDescent="0.3">
      <c r="A220" s="252"/>
      <c r="B220" s="121" t="s">
        <v>307</v>
      </c>
      <c r="C220" s="122"/>
      <c r="D220" s="123">
        <v>0</v>
      </c>
      <c r="E220" s="123">
        <v>100</v>
      </c>
      <c r="F220" s="124">
        <f t="shared" si="19"/>
        <v>100</v>
      </c>
      <c r="H220" s="79"/>
    </row>
    <row r="221" spans="1:8" ht="18.75" x14ac:dyDescent="0.3">
      <c r="A221" s="252"/>
      <c r="B221" s="121" t="s">
        <v>308</v>
      </c>
      <c r="C221" s="122"/>
      <c r="D221" s="123">
        <v>5580.9</v>
      </c>
      <c r="E221" s="123">
        <f>-2365.07414-0.27608-424.82+0.03055-0.00659</f>
        <v>-2790.1462600000004</v>
      </c>
      <c r="F221" s="124">
        <f t="shared" si="19"/>
        <v>2790.7537399999992</v>
      </c>
      <c r="H221" s="79"/>
    </row>
    <row r="222" spans="1:8" ht="18.75" x14ac:dyDescent="0.3">
      <c r="A222" s="252"/>
      <c r="B222" s="121" t="s">
        <v>338</v>
      </c>
      <c r="C222" s="122"/>
      <c r="D222" s="123">
        <v>965.6</v>
      </c>
      <c r="E222" s="123">
        <f>11.5</f>
        <v>11.5</v>
      </c>
      <c r="F222" s="124">
        <f t="shared" si="19"/>
        <v>977.1</v>
      </c>
      <c r="H222" s="79"/>
    </row>
    <row r="223" spans="1:8" ht="18.75" x14ac:dyDescent="0.3">
      <c r="A223" s="252"/>
      <c r="B223" s="121" t="s">
        <v>379</v>
      </c>
      <c r="C223" s="122"/>
      <c r="D223" s="123">
        <v>7928</v>
      </c>
      <c r="E223" s="123">
        <f>-98-41.7+41.7</f>
        <v>-97.999999999999986</v>
      </c>
      <c r="F223" s="124">
        <f t="shared" ref="F223" si="21">SUM(D223:E223)</f>
        <v>7830</v>
      </c>
      <c r="H223" s="79"/>
    </row>
    <row r="224" spans="1:8" ht="18.75" x14ac:dyDescent="0.3">
      <c r="A224" s="252"/>
      <c r="B224" s="121" t="s">
        <v>561</v>
      </c>
      <c r="C224" s="122"/>
      <c r="D224" s="123">
        <v>95.1</v>
      </c>
      <c r="E224" s="123">
        <v>1</v>
      </c>
      <c r="F224" s="124">
        <f t="shared" si="19"/>
        <v>96.1</v>
      </c>
      <c r="H224" s="79"/>
    </row>
    <row r="225" spans="1:8" ht="18.75" x14ac:dyDescent="0.3">
      <c r="A225" s="252"/>
      <c r="B225" s="121" t="s">
        <v>512</v>
      </c>
      <c r="C225" s="122"/>
      <c r="D225" s="123">
        <v>69.2</v>
      </c>
      <c r="E225" s="123">
        <v>-0.5</v>
      </c>
      <c r="F225" s="124">
        <f t="shared" si="19"/>
        <v>68.7</v>
      </c>
      <c r="H225" s="79"/>
    </row>
    <row r="226" spans="1:8" ht="18.75" x14ac:dyDescent="0.3">
      <c r="A226" s="252"/>
      <c r="B226" s="121" t="s">
        <v>485</v>
      </c>
      <c r="C226" s="122"/>
      <c r="D226" s="123">
        <v>21525.8</v>
      </c>
      <c r="E226" s="123">
        <f>-127-215+212.9</f>
        <v>-129.1</v>
      </c>
      <c r="F226" s="124">
        <f t="shared" si="19"/>
        <v>21396.7</v>
      </c>
      <c r="H226" s="79"/>
    </row>
    <row r="227" spans="1:8" ht="18.75" x14ac:dyDescent="0.3">
      <c r="A227" s="252"/>
      <c r="B227" s="121" t="s">
        <v>543</v>
      </c>
      <c r="C227" s="122"/>
      <c r="D227" s="123">
        <v>13130.8</v>
      </c>
      <c r="E227" s="123">
        <v>-4542.8999999999996</v>
      </c>
      <c r="F227" s="124">
        <f t="shared" ref="F227" si="22">SUM(D227:E227)</f>
        <v>8587.9</v>
      </c>
      <c r="H227" s="79"/>
    </row>
    <row r="228" spans="1:8" ht="18.75" x14ac:dyDescent="0.3">
      <c r="A228" s="252"/>
      <c r="B228" s="121" t="s">
        <v>520</v>
      </c>
      <c r="C228" s="122"/>
      <c r="D228" s="123">
        <v>555.6</v>
      </c>
      <c r="E228" s="123">
        <v>-555.6</v>
      </c>
      <c r="F228" s="124">
        <f t="shared" si="19"/>
        <v>0</v>
      </c>
      <c r="H228" s="79"/>
    </row>
    <row r="229" spans="1:8" ht="18.75" x14ac:dyDescent="0.3">
      <c r="A229" s="252"/>
      <c r="B229" s="121" t="s">
        <v>484</v>
      </c>
      <c r="C229" s="122"/>
      <c r="D229" s="123">
        <v>3704.1</v>
      </c>
      <c r="E229" s="123">
        <f>-0.5-43.2+43.2</f>
        <v>-0.5</v>
      </c>
      <c r="F229" s="124">
        <f t="shared" ref="F229" si="23">SUM(D229:E229)</f>
        <v>3703.6</v>
      </c>
      <c r="H229" s="79"/>
    </row>
    <row r="230" spans="1:8" ht="18.75" x14ac:dyDescent="0.3">
      <c r="A230" s="252"/>
      <c r="B230" s="121" t="s">
        <v>377</v>
      </c>
      <c r="C230" s="122"/>
      <c r="D230" s="123">
        <v>1160.5999999999999</v>
      </c>
      <c r="E230" s="123">
        <f>1.1+30-39.1</f>
        <v>-8</v>
      </c>
      <c r="F230" s="124">
        <f t="shared" si="19"/>
        <v>1152.5999999999999</v>
      </c>
      <c r="H230" s="79"/>
    </row>
    <row r="231" spans="1:8" ht="18.75" x14ac:dyDescent="0.3">
      <c r="A231" s="252"/>
      <c r="B231" s="121" t="s">
        <v>378</v>
      </c>
      <c r="C231" s="122"/>
      <c r="D231" s="123">
        <v>11.8</v>
      </c>
      <c r="E231" s="123">
        <f>-1.1-0.1</f>
        <v>-1.2000000000000002</v>
      </c>
      <c r="F231" s="124">
        <f t="shared" si="19"/>
        <v>10.600000000000001</v>
      </c>
      <c r="H231" s="79"/>
    </row>
    <row r="232" spans="1:8" ht="18.75" x14ac:dyDescent="0.3">
      <c r="A232" s="252"/>
      <c r="B232" s="121" t="s">
        <v>490</v>
      </c>
      <c r="C232" s="122"/>
      <c r="D232" s="123">
        <v>6585.1</v>
      </c>
      <c r="E232" s="123">
        <f>44.7+103-3+255.9+6</f>
        <v>406.6</v>
      </c>
      <c r="F232" s="124">
        <f t="shared" ref="F232" si="24">SUM(D232:E232)</f>
        <v>6991.7000000000007</v>
      </c>
    </row>
    <row r="233" spans="1:8" ht="18.75" x14ac:dyDescent="0.3">
      <c r="A233" s="252"/>
      <c r="B233" s="121" t="s">
        <v>293</v>
      </c>
      <c r="C233" s="122"/>
      <c r="D233" s="123">
        <v>3801.6</v>
      </c>
      <c r="E233" s="123">
        <f>-238-44.7-479.9-29.8</f>
        <v>-792.39999999999986</v>
      </c>
      <c r="F233" s="124">
        <f t="shared" si="19"/>
        <v>3009.2</v>
      </c>
    </row>
    <row r="234" spans="1:8" ht="18.75" x14ac:dyDescent="0.3">
      <c r="A234" s="252"/>
      <c r="B234" s="121" t="s">
        <v>334</v>
      </c>
      <c r="C234" s="122"/>
      <c r="D234" s="123">
        <v>419.2</v>
      </c>
      <c r="E234" s="123">
        <f>238-3-87</f>
        <v>148</v>
      </c>
      <c r="F234" s="124">
        <f t="shared" si="19"/>
        <v>567.20000000000005</v>
      </c>
    </row>
    <row r="235" spans="1:8" ht="18.75" x14ac:dyDescent="0.3">
      <c r="A235" s="252"/>
      <c r="B235" s="121" t="s">
        <v>351</v>
      </c>
      <c r="C235" s="122"/>
      <c r="D235" s="123">
        <v>137.19999999999999</v>
      </c>
      <c r="E235" s="123">
        <v>11.5</v>
      </c>
      <c r="F235" s="124">
        <f t="shared" si="19"/>
        <v>148.69999999999999</v>
      </c>
    </row>
    <row r="236" spans="1:8" ht="18.75" x14ac:dyDescent="0.3">
      <c r="A236" s="252"/>
      <c r="B236" s="121" t="s">
        <v>352</v>
      </c>
      <c r="C236" s="122"/>
      <c r="D236" s="123">
        <v>11.5</v>
      </c>
      <c r="E236" s="123">
        <v>-11.5</v>
      </c>
      <c r="F236" s="124">
        <f t="shared" si="19"/>
        <v>0</v>
      </c>
      <c r="H236" s="79"/>
    </row>
    <row r="237" spans="1:8" ht="18.75" x14ac:dyDescent="0.3">
      <c r="A237" s="252"/>
      <c r="B237" s="121" t="s">
        <v>361</v>
      </c>
      <c r="C237" s="122"/>
      <c r="D237" s="123">
        <v>5329.7</v>
      </c>
      <c r="E237" s="155">
        <v>-288.42313999999999</v>
      </c>
      <c r="F237" s="124">
        <f t="shared" si="19"/>
        <v>5041.2768599999999</v>
      </c>
      <c r="H237" s="79"/>
    </row>
    <row r="238" spans="1:8" ht="18.75" x14ac:dyDescent="0.3">
      <c r="A238" s="252"/>
      <c r="B238" s="121" t="s">
        <v>364</v>
      </c>
      <c r="C238" s="122"/>
      <c r="D238" s="123">
        <v>4223.3</v>
      </c>
      <c r="E238" s="123">
        <v>-699.1</v>
      </c>
      <c r="F238" s="124">
        <f t="shared" si="19"/>
        <v>3524.2000000000003</v>
      </c>
      <c r="H238" s="79"/>
    </row>
    <row r="239" spans="1:8" ht="18.75" x14ac:dyDescent="0.3">
      <c r="A239" s="251" t="s">
        <v>280</v>
      </c>
      <c r="B239" s="121" t="s">
        <v>281</v>
      </c>
      <c r="C239" s="122"/>
      <c r="D239" s="123">
        <v>1391.6</v>
      </c>
      <c r="E239" s="123">
        <f>-1.8-4.3</f>
        <v>-6.1</v>
      </c>
      <c r="F239" s="124">
        <f t="shared" si="19"/>
        <v>1385.5</v>
      </c>
      <c r="H239" s="79"/>
    </row>
    <row r="240" spans="1:8" ht="18.75" x14ac:dyDescent="0.3">
      <c r="A240" s="252"/>
      <c r="B240" s="121" t="s">
        <v>354</v>
      </c>
      <c r="C240" s="122"/>
      <c r="D240" s="123">
        <v>387</v>
      </c>
      <c r="E240" s="123">
        <f>2.2-19.6</f>
        <v>-17.400000000000002</v>
      </c>
      <c r="F240" s="124">
        <f t="shared" si="19"/>
        <v>369.6</v>
      </c>
      <c r="H240" s="79"/>
    </row>
    <row r="241" spans="1:8" ht="18.75" x14ac:dyDescent="0.3">
      <c r="A241" s="253"/>
      <c r="B241" s="121" t="s">
        <v>355</v>
      </c>
      <c r="C241" s="122"/>
      <c r="D241" s="123">
        <v>0.4</v>
      </c>
      <c r="E241" s="123">
        <v>-0.4</v>
      </c>
      <c r="F241" s="124">
        <f t="shared" si="19"/>
        <v>0</v>
      </c>
      <c r="H241" s="79"/>
    </row>
    <row r="242" spans="1:8" ht="18.75" x14ac:dyDescent="0.3">
      <c r="A242" s="251" t="s">
        <v>268</v>
      </c>
      <c r="B242" s="121" t="s">
        <v>535</v>
      </c>
      <c r="C242" s="122"/>
      <c r="D242" s="123">
        <v>1476.9</v>
      </c>
      <c r="E242" s="123">
        <v>-29.4</v>
      </c>
      <c r="F242" s="124">
        <f t="shared" si="19"/>
        <v>1447.5</v>
      </c>
      <c r="H242" s="79"/>
    </row>
    <row r="243" spans="1:8" ht="18.75" x14ac:dyDescent="0.3">
      <c r="A243" s="252"/>
      <c r="B243" s="121" t="s">
        <v>536</v>
      </c>
      <c r="C243" s="122"/>
      <c r="D243" s="123">
        <v>2695.1</v>
      </c>
      <c r="E243" s="123">
        <v>-1.3</v>
      </c>
      <c r="F243" s="124">
        <f t="shared" si="19"/>
        <v>2693.7999999999997</v>
      </c>
      <c r="H243" s="79"/>
    </row>
    <row r="244" spans="1:8" ht="18.75" x14ac:dyDescent="0.3">
      <c r="A244" s="252"/>
      <c r="B244" s="121" t="s">
        <v>537</v>
      </c>
      <c r="C244" s="122"/>
      <c r="D244" s="123">
        <v>2482.1999999999998</v>
      </c>
      <c r="E244" s="123">
        <v>-9.9</v>
      </c>
      <c r="F244" s="124">
        <f t="shared" si="19"/>
        <v>2472.2999999999997</v>
      </c>
      <c r="H244" s="79"/>
    </row>
    <row r="245" spans="1:8" ht="18.75" x14ac:dyDescent="0.3">
      <c r="A245" s="252"/>
      <c r="B245" s="121" t="s">
        <v>538</v>
      </c>
      <c r="C245" s="122"/>
      <c r="D245" s="123">
        <v>400.6</v>
      </c>
      <c r="E245" s="123">
        <v>-21.7</v>
      </c>
      <c r="F245" s="124">
        <f t="shared" si="19"/>
        <v>378.90000000000003</v>
      </c>
      <c r="H245" s="79"/>
    </row>
    <row r="246" spans="1:8" ht="18.75" x14ac:dyDescent="0.3">
      <c r="A246" s="252"/>
      <c r="B246" s="121" t="s">
        <v>309</v>
      </c>
      <c r="C246" s="122"/>
      <c r="D246" s="123">
        <v>0</v>
      </c>
      <c r="E246" s="123">
        <f>4.95+0.75</f>
        <v>5.7</v>
      </c>
      <c r="F246" s="124">
        <f t="shared" si="19"/>
        <v>5.7</v>
      </c>
    </row>
    <row r="247" spans="1:8" ht="18.75" x14ac:dyDescent="0.3">
      <c r="A247" s="253"/>
      <c r="B247" s="121" t="s">
        <v>310</v>
      </c>
      <c r="C247" s="122"/>
      <c r="D247" s="123">
        <v>103.5</v>
      </c>
      <c r="E247" s="123">
        <f>-4.95-1.246-0.75</f>
        <v>-6.9459999999999997</v>
      </c>
      <c r="F247" s="124">
        <f t="shared" si="19"/>
        <v>96.554000000000002</v>
      </c>
    </row>
    <row r="248" spans="1:8" ht="18.75" x14ac:dyDescent="0.3">
      <c r="A248" s="251" t="s">
        <v>34</v>
      </c>
      <c r="B248" s="121" t="s">
        <v>356</v>
      </c>
      <c r="C248" s="122"/>
      <c r="D248" s="123">
        <v>1000</v>
      </c>
      <c r="E248" s="123">
        <v>-500</v>
      </c>
      <c r="F248" s="124">
        <f t="shared" si="19"/>
        <v>500</v>
      </c>
      <c r="H248" s="79"/>
    </row>
    <row r="249" spans="1:8" ht="18.75" x14ac:dyDescent="0.3">
      <c r="A249" s="252"/>
      <c r="B249" s="121" t="s">
        <v>317</v>
      </c>
      <c r="C249" s="122"/>
      <c r="D249" s="123">
        <v>700</v>
      </c>
      <c r="E249" s="123">
        <v>-670</v>
      </c>
      <c r="F249" s="124">
        <f t="shared" si="19"/>
        <v>30</v>
      </c>
      <c r="H249" s="79"/>
    </row>
    <row r="250" spans="1:8" ht="18.75" x14ac:dyDescent="0.3">
      <c r="A250" s="252"/>
      <c r="B250" s="121" t="s">
        <v>318</v>
      </c>
      <c r="C250" s="122"/>
      <c r="D250" s="123">
        <v>600</v>
      </c>
      <c r="E250" s="123">
        <f>670+15+500+350</f>
        <v>1535</v>
      </c>
      <c r="F250" s="124">
        <f t="shared" si="19"/>
        <v>2135</v>
      </c>
      <c r="H250" s="79"/>
    </row>
    <row r="251" spans="1:8" ht="18.75" x14ac:dyDescent="0.3">
      <c r="A251" s="252"/>
      <c r="B251" s="121" t="s">
        <v>330</v>
      </c>
      <c r="C251" s="122"/>
      <c r="D251" s="123">
        <v>1000</v>
      </c>
      <c r="E251" s="123">
        <f>-300-70</f>
        <v>-370</v>
      </c>
      <c r="F251" s="124">
        <f t="shared" si="19"/>
        <v>630</v>
      </c>
      <c r="H251" s="79"/>
    </row>
    <row r="252" spans="1:8" ht="18.75" x14ac:dyDescent="0.3">
      <c r="A252" s="252"/>
      <c r="B252" s="121" t="s">
        <v>331</v>
      </c>
      <c r="C252" s="122"/>
      <c r="D252" s="123">
        <v>300</v>
      </c>
      <c r="E252" s="123">
        <f>100</f>
        <v>100</v>
      </c>
      <c r="F252" s="124">
        <f t="shared" si="19"/>
        <v>400</v>
      </c>
      <c r="H252" s="79"/>
    </row>
    <row r="253" spans="1:8" ht="18.75" x14ac:dyDescent="0.3">
      <c r="A253" s="252"/>
      <c r="B253" s="121" t="s">
        <v>332</v>
      </c>
      <c r="C253" s="122"/>
      <c r="D253" s="123">
        <v>900</v>
      </c>
      <c r="E253" s="123">
        <f>135+70</f>
        <v>205</v>
      </c>
      <c r="F253" s="124">
        <f t="shared" si="19"/>
        <v>1105</v>
      </c>
      <c r="H253" s="79"/>
    </row>
    <row r="254" spans="1:8" ht="18.75" x14ac:dyDescent="0.3">
      <c r="A254" s="252"/>
      <c r="B254" s="121" t="s">
        <v>492</v>
      </c>
      <c r="C254" s="122"/>
      <c r="D254" s="123">
        <v>100</v>
      </c>
      <c r="E254" s="123">
        <v>-63</v>
      </c>
      <c r="F254" s="124">
        <f t="shared" si="19"/>
        <v>37</v>
      </c>
      <c r="H254" s="79"/>
    </row>
    <row r="255" spans="1:8" ht="18.75" x14ac:dyDescent="0.3">
      <c r="A255" s="252"/>
      <c r="B255" s="121" t="s">
        <v>493</v>
      </c>
      <c r="C255" s="122"/>
      <c r="D255" s="123">
        <v>21606.2</v>
      </c>
      <c r="E255" s="123">
        <f>-173.2-21400</f>
        <v>-21573.200000000001</v>
      </c>
      <c r="F255" s="124">
        <f t="shared" si="19"/>
        <v>33</v>
      </c>
      <c r="H255" s="79"/>
    </row>
    <row r="256" spans="1:8" ht="18.75" x14ac:dyDescent="0.3">
      <c r="A256" s="252"/>
      <c r="B256" s="121" t="s">
        <v>333</v>
      </c>
      <c r="C256" s="122"/>
      <c r="D256" s="123">
        <v>1281.0999999999999</v>
      </c>
      <c r="E256" s="123">
        <v>50</v>
      </c>
      <c r="F256" s="124">
        <f t="shared" ref="F256:F257" si="25">SUM(D256:E256)</f>
        <v>1331.1</v>
      </c>
      <c r="H256" s="79"/>
    </row>
    <row r="257" spans="1:8" ht="18.75" x14ac:dyDescent="0.3">
      <c r="A257" s="252"/>
      <c r="B257" s="121" t="s">
        <v>560</v>
      </c>
      <c r="C257" s="122"/>
      <c r="D257" s="123">
        <v>6538.3</v>
      </c>
      <c r="E257" s="123">
        <v>-113.8</v>
      </c>
      <c r="F257" s="124">
        <f t="shared" si="25"/>
        <v>6424.5</v>
      </c>
      <c r="H257" s="79"/>
    </row>
    <row r="258" spans="1:8" ht="18.75" x14ac:dyDescent="0.3">
      <c r="A258" s="253"/>
      <c r="B258" s="121" t="s">
        <v>529</v>
      </c>
      <c r="C258" s="122"/>
      <c r="D258" s="123">
        <v>30.7</v>
      </c>
      <c r="E258" s="123">
        <v>-30.7</v>
      </c>
      <c r="F258" s="124">
        <f t="shared" si="19"/>
        <v>0</v>
      </c>
      <c r="H258" s="79"/>
    </row>
    <row r="259" spans="1:8" ht="18.75" x14ac:dyDescent="0.3">
      <c r="A259" s="251" t="s">
        <v>8</v>
      </c>
      <c r="B259" s="121" t="s">
        <v>312</v>
      </c>
      <c r="C259" s="122"/>
      <c r="D259" s="123">
        <v>0</v>
      </c>
      <c r="E259" s="123">
        <v>38.887430000000002</v>
      </c>
      <c r="F259" s="124">
        <f t="shared" ref="F259:F281" si="26">SUM(D259:E259)</f>
        <v>38.887430000000002</v>
      </c>
      <c r="H259" s="79"/>
    </row>
    <row r="260" spans="1:8" ht="18.75" x14ac:dyDescent="0.3">
      <c r="A260" s="252"/>
      <c r="B260" s="121" t="s">
        <v>313</v>
      </c>
      <c r="C260" s="122"/>
      <c r="D260" s="123">
        <v>0</v>
      </c>
      <c r="E260" s="123">
        <v>11.11257</v>
      </c>
      <c r="F260" s="124">
        <f t="shared" si="26"/>
        <v>11.11257</v>
      </c>
      <c r="H260" s="79"/>
    </row>
    <row r="261" spans="1:8" ht="18.75" x14ac:dyDescent="0.3">
      <c r="A261" s="252"/>
      <c r="B261" s="121" t="s">
        <v>394</v>
      </c>
      <c r="C261" s="122"/>
      <c r="D261" s="123">
        <v>24090.6</v>
      </c>
      <c r="E261" s="123">
        <f>-0.7+50</f>
        <v>49.3</v>
      </c>
      <c r="F261" s="124">
        <f t="shared" si="26"/>
        <v>24139.899999999998</v>
      </c>
      <c r="H261" s="79"/>
    </row>
    <row r="262" spans="1:8" ht="18.75" x14ac:dyDescent="0.3">
      <c r="A262" s="252"/>
      <c r="B262" s="121" t="s">
        <v>276</v>
      </c>
      <c r="C262" s="122"/>
      <c r="D262" s="123">
        <v>15993.1</v>
      </c>
      <c r="E262" s="123">
        <f>-434.6+22.1+27-7.9+48-1132+11.4-222.5+16.5+79.5+25.2+76.1+2.1-0.9-10.4</f>
        <v>-1500.4000000000003</v>
      </c>
      <c r="F262" s="124">
        <f t="shared" si="26"/>
        <v>14492.7</v>
      </c>
      <c r="H262" s="79"/>
    </row>
    <row r="263" spans="1:8" ht="18.75" x14ac:dyDescent="0.3">
      <c r="A263" s="252"/>
      <c r="B263" s="121" t="s">
        <v>277</v>
      </c>
      <c r="C263" s="122"/>
      <c r="D263" s="123">
        <v>169045.8</v>
      </c>
      <c r="E263" s="123">
        <f>212.9-22.1-27-48+1216.5-103.9-579.9+520+210.4+82.7+50.9-195.6+837.6-264.2+35.75+171.7+10.4</f>
        <v>2108.1500000000005</v>
      </c>
      <c r="F263" s="124">
        <f t="shared" si="26"/>
        <v>171153.94999999998</v>
      </c>
      <c r="H263" s="79"/>
    </row>
    <row r="264" spans="1:8" ht="18.75" x14ac:dyDescent="0.3">
      <c r="A264" s="252"/>
      <c r="B264" s="121" t="s">
        <v>275</v>
      </c>
      <c r="C264" s="122"/>
      <c r="D264" s="123">
        <v>168.6</v>
      </c>
      <c r="E264" s="123">
        <f>6.9+2.2+90.1-0.3</f>
        <v>98.899999999999991</v>
      </c>
      <c r="F264" s="124">
        <f t="shared" si="26"/>
        <v>267.5</v>
      </c>
      <c r="H264" s="79"/>
    </row>
    <row r="265" spans="1:8" ht="18.75" x14ac:dyDescent="0.3">
      <c r="A265" s="252"/>
      <c r="B265" s="121" t="s">
        <v>260</v>
      </c>
      <c r="C265" s="122"/>
      <c r="D265" s="123">
        <v>10283.5</v>
      </c>
      <c r="E265" s="123">
        <f>-12.4-62.3-384.6+101.9-16.4-40.6+110.4-85.9</f>
        <v>-389.9</v>
      </c>
      <c r="F265" s="124">
        <f t="shared" si="26"/>
        <v>9893.6</v>
      </c>
    </row>
    <row r="266" spans="1:8" ht="18.75" x14ac:dyDescent="0.3">
      <c r="A266" s="252"/>
      <c r="B266" s="121" t="s">
        <v>397</v>
      </c>
      <c r="C266" s="122"/>
      <c r="D266" s="123">
        <v>525.6</v>
      </c>
      <c r="E266" s="123">
        <f>3.5-0.3-0.2</f>
        <v>3</v>
      </c>
      <c r="F266" s="124">
        <f t="shared" si="26"/>
        <v>528.6</v>
      </c>
    </row>
    <row r="267" spans="1:8" ht="18.75" x14ac:dyDescent="0.3">
      <c r="A267" s="252"/>
      <c r="B267" s="121" t="s">
        <v>278</v>
      </c>
      <c r="C267" s="122"/>
      <c r="D267" s="123">
        <v>73562.5</v>
      </c>
      <c r="E267" s="123">
        <f>409.4+137-17.6+455.3-174.6+25.1+12.2+10.4-2.5-35.8-171.7+3124.4+1700</f>
        <v>5471.6</v>
      </c>
      <c r="F267" s="124">
        <f t="shared" si="26"/>
        <v>79034.100000000006</v>
      </c>
    </row>
    <row r="268" spans="1:8" ht="18.75" x14ac:dyDescent="0.3">
      <c r="A268" s="252"/>
      <c r="B268" s="121" t="s">
        <v>373</v>
      </c>
      <c r="C268" s="122"/>
      <c r="D268" s="123">
        <v>170.4</v>
      </c>
      <c r="E268" s="123">
        <f>7.9+14.6</f>
        <v>22.5</v>
      </c>
      <c r="F268" s="124">
        <f t="shared" si="26"/>
        <v>192.9</v>
      </c>
    </row>
    <row r="269" spans="1:8" ht="18.75" x14ac:dyDescent="0.3">
      <c r="A269" s="252"/>
      <c r="B269" s="121" t="s">
        <v>396</v>
      </c>
      <c r="C269" s="122"/>
      <c r="D269" s="123">
        <v>32971.199999999997</v>
      </c>
      <c r="E269" s="123">
        <f>-7.2-0.0405</f>
        <v>-7.2404999999999999</v>
      </c>
      <c r="F269" s="124">
        <f t="shared" si="26"/>
        <v>32963.959499999997</v>
      </c>
    </row>
    <row r="270" spans="1:8" ht="18.75" x14ac:dyDescent="0.3">
      <c r="A270" s="252"/>
      <c r="B270" s="121" t="s">
        <v>39</v>
      </c>
      <c r="C270" s="122"/>
      <c r="D270" s="123">
        <v>12028.3</v>
      </c>
      <c r="E270" s="123">
        <f>31.1+3.72875</f>
        <v>34.828749999999999</v>
      </c>
      <c r="F270" s="124">
        <f t="shared" si="26"/>
        <v>12063.12875</v>
      </c>
    </row>
    <row r="271" spans="1:8" ht="18.75" x14ac:dyDescent="0.3">
      <c r="A271" s="252"/>
      <c r="B271" s="121" t="s">
        <v>183</v>
      </c>
      <c r="C271" s="122"/>
      <c r="D271" s="123">
        <v>1581.8</v>
      </c>
      <c r="E271" s="123">
        <f>-23.9-3.68825</f>
        <v>-27.588249999999999</v>
      </c>
      <c r="F271" s="124">
        <f t="shared" si="26"/>
        <v>1554.2117499999999</v>
      </c>
    </row>
    <row r="272" spans="1:8" ht="18.75" x14ac:dyDescent="0.3">
      <c r="A272" s="252"/>
      <c r="B272" s="121" t="s">
        <v>259</v>
      </c>
      <c r="C272" s="122"/>
      <c r="D272" s="123">
        <v>140514.5</v>
      </c>
      <c r="E272" s="123">
        <f>5.8-229.6-23.2+22.7-92.2+40+9.1-54.1</f>
        <v>-321.5</v>
      </c>
      <c r="F272" s="124">
        <f t="shared" si="26"/>
        <v>140193</v>
      </c>
    </row>
    <row r="273" spans="1:8" ht="18.75" x14ac:dyDescent="0.3">
      <c r="A273" s="252"/>
      <c r="B273" s="121" t="s">
        <v>398</v>
      </c>
      <c r="C273" s="122"/>
      <c r="D273" s="123">
        <v>5283.8</v>
      </c>
      <c r="E273" s="123">
        <f>275.3+127.9-107.5-0.1</f>
        <v>295.60000000000002</v>
      </c>
      <c r="F273" s="124">
        <f t="shared" si="26"/>
        <v>5579.4000000000005</v>
      </c>
      <c r="H273" s="79"/>
    </row>
    <row r="274" spans="1:8" ht="18.75" x14ac:dyDescent="0.3">
      <c r="A274" s="252"/>
      <c r="B274" s="121" t="s">
        <v>504</v>
      </c>
      <c r="C274" s="122"/>
      <c r="D274" s="123">
        <v>3975.9</v>
      </c>
      <c r="E274" s="123">
        <v>-18.600000000000001</v>
      </c>
      <c r="F274" s="124">
        <f t="shared" si="26"/>
        <v>3957.3</v>
      </c>
      <c r="H274" s="79"/>
    </row>
    <row r="275" spans="1:8" ht="18.75" x14ac:dyDescent="0.3">
      <c r="A275" s="252"/>
      <c r="B275" s="125" t="s">
        <v>262</v>
      </c>
      <c r="C275" s="122"/>
      <c r="D275" s="123">
        <v>22362.9</v>
      </c>
      <c r="E275" s="123">
        <f>-0.6-95.4-0.3-30.1-38+36.3-0.5</f>
        <v>-128.60000000000002</v>
      </c>
      <c r="F275" s="124">
        <f t="shared" si="26"/>
        <v>22234.300000000003</v>
      </c>
      <c r="H275" s="79"/>
    </row>
    <row r="276" spans="1:8" ht="18.75" x14ac:dyDescent="0.3">
      <c r="A276" s="252"/>
      <c r="B276" s="121" t="s">
        <v>321</v>
      </c>
      <c r="C276" s="122"/>
      <c r="D276" s="123">
        <v>19624.7</v>
      </c>
      <c r="E276" s="123">
        <f>-11.9+12+35.7</f>
        <v>35.800000000000004</v>
      </c>
      <c r="F276" s="124">
        <f t="shared" ref="F276" si="27">SUM(D276:E276)</f>
        <v>19660.5</v>
      </c>
      <c r="H276" s="79"/>
    </row>
    <row r="277" spans="1:8" ht="18.75" x14ac:dyDescent="0.3">
      <c r="A277" s="252"/>
      <c r="B277" s="121" t="s">
        <v>263</v>
      </c>
      <c r="C277" s="122"/>
      <c r="D277" s="123">
        <v>2279.5</v>
      </c>
      <c r="E277" s="123">
        <f>71.5+228.9+148.7-20.4-0.4+9.5</f>
        <v>437.8</v>
      </c>
      <c r="F277" s="124">
        <f t="shared" ref="F277" si="28">SUM(D277:E277)</f>
        <v>2717.3</v>
      </c>
    </row>
    <row r="278" spans="1:8" ht="18.75" x14ac:dyDescent="0.3">
      <c r="A278" s="252"/>
      <c r="B278" s="121" t="s">
        <v>261</v>
      </c>
      <c r="C278" s="122"/>
      <c r="D278" s="123">
        <v>24318.9</v>
      </c>
      <c r="E278" s="123">
        <f>-0.2-127.3+0.6-18.5-35.7-38.5+5.4-0.7+0.05-9.5</f>
        <v>-224.35</v>
      </c>
      <c r="F278" s="124">
        <f t="shared" ref="F278" si="29">SUM(D278:E278)</f>
        <v>24094.550000000003</v>
      </c>
    </row>
    <row r="279" spans="1:8" ht="18.75" x14ac:dyDescent="0.3">
      <c r="A279" s="252"/>
      <c r="B279" s="121" t="s">
        <v>322</v>
      </c>
      <c r="C279" s="122"/>
      <c r="D279" s="123">
        <v>83.2</v>
      </c>
      <c r="E279" s="123">
        <f>-4.5-0.1</f>
        <v>-4.5999999999999996</v>
      </c>
      <c r="F279" s="124">
        <f t="shared" si="26"/>
        <v>78.600000000000009</v>
      </c>
    </row>
    <row r="280" spans="1:8" ht="18.75" x14ac:dyDescent="0.3">
      <c r="A280" s="252"/>
      <c r="B280" s="121" t="s">
        <v>375</v>
      </c>
      <c r="C280" s="122"/>
      <c r="D280" s="123">
        <v>2254.4</v>
      </c>
      <c r="E280" s="123">
        <v>-1.6</v>
      </c>
      <c r="F280" s="124">
        <f t="shared" si="26"/>
        <v>2252.8000000000002</v>
      </c>
      <c r="H280" s="79"/>
    </row>
    <row r="281" spans="1:8" ht="18.75" x14ac:dyDescent="0.3">
      <c r="A281" s="252"/>
      <c r="B281" s="121" t="s">
        <v>376</v>
      </c>
      <c r="C281" s="122"/>
      <c r="D281" s="123">
        <v>350.2</v>
      </c>
      <c r="E281" s="123">
        <v>1.6</v>
      </c>
      <c r="F281" s="124">
        <f t="shared" si="26"/>
        <v>351.8</v>
      </c>
      <c r="H281" s="79"/>
    </row>
    <row r="282" spans="1:8" ht="18.75" x14ac:dyDescent="0.3">
      <c r="A282" s="252"/>
      <c r="B282" s="121" t="s">
        <v>319</v>
      </c>
      <c r="C282" s="122"/>
      <c r="D282" s="123">
        <v>39.6</v>
      </c>
      <c r="E282" s="123">
        <f>40.9-8.8</f>
        <v>32.099999999999994</v>
      </c>
      <c r="F282" s="124">
        <f t="shared" ref="F282:F287" si="30">SUM(D282:E282)</f>
        <v>71.699999999999989</v>
      </c>
      <c r="H282" s="79"/>
    </row>
    <row r="283" spans="1:8" ht="18.75" x14ac:dyDescent="0.3">
      <c r="A283" s="252"/>
      <c r="B283" s="121" t="s">
        <v>494</v>
      </c>
      <c r="C283" s="122"/>
      <c r="D283" s="123">
        <v>144</v>
      </c>
      <c r="E283" s="123">
        <v>-0.6</v>
      </c>
      <c r="F283" s="124">
        <f t="shared" ref="F283" si="31">SUM(D283:E283)</f>
        <v>143.4</v>
      </c>
      <c r="H283" s="79"/>
    </row>
    <row r="284" spans="1:8" ht="18.75" x14ac:dyDescent="0.3">
      <c r="A284" s="252"/>
      <c r="B284" s="121" t="s">
        <v>320</v>
      </c>
      <c r="C284" s="122"/>
      <c r="D284" s="123">
        <v>784</v>
      </c>
      <c r="E284" s="123">
        <f>-280.9-48.5</f>
        <v>-329.4</v>
      </c>
      <c r="F284" s="124">
        <f t="shared" si="30"/>
        <v>454.6</v>
      </c>
      <c r="H284" s="79"/>
    </row>
    <row r="285" spans="1:8" ht="18.75" x14ac:dyDescent="0.3">
      <c r="A285" s="252"/>
      <c r="B285" s="121" t="s">
        <v>296</v>
      </c>
      <c r="C285" s="122"/>
      <c r="D285" s="123">
        <v>313.8</v>
      </c>
      <c r="E285" s="123">
        <f>-1.6-1.2-0.1</f>
        <v>-2.9</v>
      </c>
      <c r="F285" s="124">
        <f t="shared" si="30"/>
        <v>310.90000000000003</v>
      </c>
      <c r="H285" s="79"/>
    </row>
    <row r="286" spans="1:8" ht="18.75" x14ac:dyDescent="0.3">
      <c r="A286" s="252"/>
      <c r="B286" s="121" t="s">
        <v>323</v>
      </c>
      <c r="C286" s="122"/>
      <c r="D286" s="123">
        <v>67.5</v>
      </c>
      <c r="E286" s="123">
        <v>47.250230000000002</v>
      </c>
      <c r="F286" s="124">
        <f t="shared" si="30"/>
        <v>114.75023</v>
      </c>
      <c r="H286" s="79"/>
    </row>
    <row r="287" spans="1:8" ht="18.75" x14ac:dyDescent="0.3">
      <c r="A287" s="253"/>
      <c r="B287" s="121" t="s">
        <v>324</v>
      </c>
      <c r="C287" s="122"/>
      <c r="D287" s="123">
        <v>3909.5</v>
      </c>
      <c r="E287" s="123">
        <v>-47.250230000000002</v>
      </c>
      <c r="F287" s="124">
        <f t="shared" si="30"/>
        <v>3862.2497699999999</v>
      </c>
      <c r="H287" s="79"/>
    </row>
    <row r="288" spans="1:8" ht="18.75" x14ac:dyDescent="0.3">
      <c r="A288" s="251" t="s">
        <v>14</v>
      </c>
      <c r="B288" s="121" t="s">
        <v>314</v>
      </c>
      <c r="C288" s="122"/>
      <c r="D288" s="123">
        <v>0</v>
      </c>
      <c r="E288" s="123">
        <v>30</v>
      </c>
      <c r="F288" s="124">
        <f t="shared" si="19"/>
        <v>30</v>
      </c>
      <c r="H288" s="79"/>
    </row>
    <row r="289" spans="1:8" ht="18.75" x14ac:dyDescent="0.3">
      <c r="A289" s="252"/>
      <c r="B289" s="121" t="s">
        <v>294</v>
      </c>
      <c r="C289" s="122"/>
      <c r="D289" s="123">
        <v>30829.9</v>
      </c>
      <c r="E289" s="123">
        <f>422+4.2-47.1-0.1-4.2+8.9</f>
        <v>383.69999999999993</v>
      </c>
      <c r="F289" s="124">
        <f t="shared" si="19"/>
        <v>31213.600000000002</v>
      </c>
      <c r="H289" s="79"/>
    </row>
    <row r="290" spans="1:8" ht="18.75" x14ac:dyDescent="0.3">
      <c r="A290" s="252"/>
      <c r="B290" s="121" t="s">
        <v>267</v>
      </c>
      <c r="C290" s="122"/>
      <c r="D290" s="123">
        <v>8036.7</v>
      </c>
      <c r="E290" s="123">
        <f>-658.9-2524-4742.8-71</f>
        <v>-7996.7000000000007</v>
      </c>
      <c r="F290" s="124">
        <f t="shared" si="19"/>
        <v>39.999999999999091</v>
      </c>
      <c r="H290" s="79"/>
    </row>
    <row r="291" spans="1:8" ht="18.75" x14ac:dyDescent="0.3">
      <c r="A291" s="252"/>
      <c r="B291" s="121" t="s">
        <v>297</v>
      </c>
      <c r="C291" s="122"/>
      <c r="D291" s="123">
        <v>952</v>
      </c>
      <c r="E291" s="123">
        <v>-0.1</v>
      </c>
      <c r="F291" s="124">
        <f t="shared" si="19"/>
        <v>951.9</v>
      </c>
      <c r="H291" s="79"/>
    </row>
    <row r="292" spans="1:8" ht="18.75" x14ac:dyDescent="0.3">
      <c r="A292" s="252"/>
      <c r="B292" s="121" t="s">
        <v>264</v>
      </c>
      <c r="C292" s="122"/>
      <c r="D292" s="123">
        <v>69303.399999999994</v>
      </c>
      <c r="E292" s="123">
        <f>658.9+1500.9+50-97.3-64.5-10.4-80.8-163.7+195.3</f>
        <v>1988.3999999999999</v>
      </c>
      <c r="F292" s="124">
        <f t="shared" ref="F292:F297" si="32">SUM(D292:E292)</f>
        <v>71291.799999999988</v>
      </c>
      <c r="H292" s="79"/>
    </row>
    <row r="293" spans="1:8" ht="18.75" x14ac:dyDescent="0.3">
      <c r="A293" s="252"/>
      <c r="B293" s="121" t="s">
        <v>299</v>
      </c>
      <c r="C293" s="122"/>
      <c r="D293" s="123">
        <v>4576.8999999999996</v>
      </c>
      <c r="E293" s="123">
        <f>92.4-1.9-13.5-1-18.4+3.5+34.7</f>
        <v>95.800000000000011</v>
      </c>
      <c r="F293" s="124">
        <f t="shared" si="32"/>
        <v>4672.7</v>
      </c>
      <c r="H293" s="79"/>
    </row>
    <row r="294" spans="1:8" ht="18.75" x14ac:dyDescent="0.3">
      <c r="A294" s="252"/>
      <c r="B294" s="121" t="s">
        <v>298</v>
      </c>
      <c r="C294" s="122"/>
      <c r="D294" s="123">
        <v>22829.200000000001</v>
      </c>
      <c r="E294" s="123">
        <f>508.7-8.1-12.8+11.5-77.9+22.8</f>
        <v>444.2</v>
      </c>
      <c r="F294" s="124">
        <f t="shared" si="32"/>
        <v>23273.4</v>
      </c>
      <c r="H294" s="79"/>
    </row>
    <row r="295" spans="1:8" ht="18.75" x14ac:dyDescent="0.3">
      <c r="A295" s="252"/>
      <c r="B295" s="121" t="s">
        <v>357</v>
      </c>
      <c r="C295" s="122"/>
      <c r="D295" s="123">
        <v>1061.2</v>
      </c>
      <c r="E295" s="123">
        <v>-2.2999999999999998</v>
      </c>
      <c r="F295" s="124">
        <f t="shared" si="32"/>
        <v>1058.9000000000001</v>
      </c>
      <c r="H295" s="79"/>
    </row>
    <row r="296" spans="1:8" ht="18.75" x14ac:dyDescent="0.3">
      <c r="A296" s="252"/>
      <c r="B296" s="121" t="s">
        <v>301</v>
      </c>
      <c r="C296" s="122"/>
      <c r="D296" s="123">
        <v>88.8</v>
      </c>
      <c r="E296" s="123">
        <f>-0.4+18.4</f>
        <v>18</v>
      </c>
      <c r="F296" s="124">
        <f t="shared" ref="F296" si="33">SUM(D296:E296)</f>
        <v>106.8</v>
      </c>
      <c r="H296" s="79"/>
    </row>
    <row r="297" spans="1:8" ht="18.75" x14ac:dyDescent="0.3">
      <c r="A297" s="252"/>
      <c r="B297" s="121" t="s">
        <v>358</v>
      </c>
      <c r="C297" s="122"/>
      <c r="D297" s="123">
        <v>8.5</v>
      </c>
      <c r="E297" s="123">
        <v>-1.7</v>
      </c>
      <c r="F297" s="124">
        <f t="shared" si="32"/>
        <v>6.8</v>
      </c>
    </row>
    <row r="298" spans="1:8" ht="18.75" x14ac:dyDescent="0.3">
      <c r="A298" s="252"/>
      <c r="B298" s="121" t="s">
        <v>359</v>
      </c>
      <c r="C298" s="122"/>
      <c r="D298" s="123">
        <v>3037.6</v>
      </c>
      <c r="E298" s="123">
        <f>-9.6-14.6</f>
        <v>-24.2</v>
      </c>
      <c r="F298" s="124">
        <f t="shared" ref="F298:F344" si="34">SUM(D298:E298)</f>
        <v>3013.4</v>
      </c>
    </row>
    <row r="299" spans="1:8" ht="18.75" x14ac:dyDescent="0.3">
      <c r="A299" s="253"/>
      <c r="B299" s="121" t="s">
        <v>300</v>
      </c>
      <c r="C299" s="122"/>
      <c r="D299" s="123">
        <v>313.89999999999998</v>
      </c>
      <c r="E299" s="123">
        <f>-2.1+52.6</f>
        <v>50.5</v>
      </c>
      <c r="F299" s="124">
        <f t="shared" si="34"/>
        <v>364.4</v>
      </c>
    </row>
    <row r="300" spans="1:8" ht="18.75" x14ac:dyDescent="0.3">
      <c r="A300" s="251" t="s">
        <v>273</v>
      </c>
      <c r="B300" s="106" t="s">
        <v>286</v>
      </c>
      <c r="C300" s="107"/>
      <c r="D300" s="141">
        <v>20326.400000000001</v>
      </c>
      <c r="E300" s="126">
        <f>-338.5-23.8+21.5-23.9-418.6+246.3+145</f>
        <v>-392</v>
      </c>
      <c r="F300" s="123">
        <f t="shared" ref="F300:F311" si="35">SUM(D300:E300)</f>
        <v>19934.400000000001</v>
      </c>
    </row>
    <row r="301" spans="1:8" ht="18.75" x14ac:dyDescent="0.3">
      <c r="A301" s="252"/>
      <c r="B301" s="106" t="s">
        <v>349</v>
      </c>
      <c r="C301" s="107"/>
      <c r="D301" s="141">
        <v>13</v>
      </c>
      <c r="E301" s="126">
        <v>-4.0999999999999996</v>
      </c>
      <c r="F301" s="123">
        <f t="shared" si="35"/>
        <v>8.9</v>
      </c>
    </row>
    <row r="302" spans="1:8" ht="18.75" x14ac:dyDescent="0.3">
      <c r="A302" s="252"/>
      <c r="B302" s="106" t="s">
        <v>345</v>
      </c>
      <c r="C302" s="107"/>
      <c r="D302" s="141">
        <v>3430.1</v>
      </c>
      <c r="E302" s="126">
        <f>13.9-8.4-4.8+3</f>
        <v>3.7</v>
      </c>
      <c r="F302" s="123">
        <f t="shared" si="35"/>
        <v>3433.7999999999997</v>
      </c>
    </row>
    <row r="303" spans="1:8" ht="18.75" x14ac:dyDescent="0.3">
      <c r="A303" s="252"/>
      <c r="B303" s="106" t="s">
        <v>347</v>
      </c>
      <c r="C303" s="107"/>
      <c r="D303" s="141">
        <v>4137.2</v>
      </c>
      <c r="E303" s="126">
        <v>-4037.2</v>
      </c>
      <c r="F303" s="123">
        <f t="shared" si="35"/>
        <v>100</v>
      </c>
    </row>
    <row r="304" spans="1:8" ht="18.75" x14ac:dyDescent="0.3">
      <c r="A304" s="252"/>
      <c r="B304" s="106" t="s">
        <v>287</v>
      </c>
      <c r="C304" s="107"/>
      <c r="D304" s="141">
        <v>27063.7</v>
      </c>
      <c r="E304" s="126">
        <f>-19.5-60.1-41.2-732+674.5</f>
        <v>-178.29999999999995</v>
      </c>
      <c r="F304" s="123">
        <f t="shared" si="35"/>
        <v>26885.4</v>
      </c>
    </row>
    <row r="305" spans="1:8" ht="18.75" x14ac:dyDescent="0.3">
      <c r="A305" s="252"/>
      <c r="B305" s="106" t="s">
        <v>346</v>
      </c>
      <c r="C305" s="107"/>
      <c r="D305" s="141">
        <v>14904.9</v>
      </c>
      <c r="E305" s="126">
        <f>-518.1-9.6-791.6+653.8</f>
        <v>-665.50000000000023</v>
      </c>
      <c r="F305" s="123">
        <f t="shared" si="35"/>
        <v>14239.4</v>
      </c>
    </row>
    <row r="306" spans="1:8" ht="18.75" x14ac:dyDescent="0.3">
      <c r="A306" s="252"/>
      <c r="B306" s="106" t="s">
        <v>348</v>
      </c>
      <c r="C306" s="107"/>
      <c r="D306" s="141">
        <v>20</v>
      </c>
      <c r="E306" s="126">
        <v>-5</v>
      </c>
      <c r="F306" s="123">
        <f t="shared" si="35"/>
        <v>15</v>
      </c>
    </row>
    <row r="307" spans="1:8" ht="18.75" x14ac:dyDescent="0.3">
      <c r="A307" s="252"/>
      <c r="B307" s="106" t="s">
        <v>526</v>
      </c>
      <c r="C307" s="107"/>
      <c r="D307" s="141">
        <v>281.89999999999998</v>
      </c>
      <c r="E307" s="126">
        <v>-3.5</v>
      </c>
      <c r="F307" s="123">
        <f t="shared" si="35"/>
        <v>278.39999999999998</v>
      </c>
    </row>
    <row r="308" spans="1:8" ht="18.75" x14ac:dyDescent="0.3">
      <c r="A308" s="252"/>
      <c r="B308" s="106" t="s">
        <v>353</v>
      </c>
      <c r="C308" s="107"/>
      <c r="D308" s="141">
        <v>1061.2</v>
      </c>
      <c r="E308" s="126">
        <f>-3.4-12.6+12.6</f>
        <v>-3.4000000000000004</v>
      </c>
      <c r="F308" s="123">
        <f t="shared" ref="F308" si="36">SUM(D308:E308)</f>
        <v>1057.8</v>
      </c>
    </row>
    <row r="309" spans="1:8" ht="18.75" x14ac:dyDescent="0.3">
      <c r="A309" s="253"/>
      <c r="B309" s="106" t="s">
        <v>274</v>
      </c>
      <c r="C309" s="107"/>
      <c r="D309" s="141">
        <v>43.5</v>
      </c>
      <c r="E309" s="126">
        <v>-4.2</v>
      </c>
      <c r="F309" s="123">
        <f t="shared" si="35"/>
        <v>39.299999999999997</v>
      </c>
      <c r="H309" s="79"/>
    </row>
    <row r="310" spans="1:8" ht="18.75" x14ac:dyDescent="0.3">
      <c r="A310" s="251" t="s">
        <v>25</v>
      </c>
      <c r="B310" s="121" t="s">
        <v>315</v>
      </c>
      <c r="C310" s="122"/>
      <c r="D310" s="123">
        <v>0</v>
      </c>
      <c r="E310" s="123">
        <f>107.9016+1.02</f>
        <v>108.9216</v>
      </c>
      <c r="F310" s="123">
        <f t="shared" si="35"/>
        <v>108.9216</v>
      </c>
      <c r="H310" s="79"/>
    </row>
    <row r="311" spans="1:8" ht="18.75" x14ac:dyDescent="0.3">
      <c r="A311" s="252"/>
      <c r="B311" s="121" t="s">
        <v>316</v>
      </c>
      <c r="C311" s="122"/>
      <c r="D311" s="123">
        <v>0</v>
      </c>
      <c r="E311" s="123">
        <f>90.18954+9.2</f>
        <v>99.389539999999997</v>
      </c>
      <c r="F311" s="123">
        <f t="shared" si="35"/>
        <v>99.389539999999997</v>
      </c>
      <c r="H311" s="79"/>
    </row>
    <row r="312" spans="1:8" ht="18.75" x14ac:dyDescent="0.3">
      <c r="A312" s="252"/>
      <c r="B312" s="106" t="s">
        <v>362</v>
      </c>
      <c r="C312" s="107"/>
      <c r="D312" s="126">
        <v>36.299999999999997</v>
      </c>
      <c r="E312" s="126">
        <v>-2.2999999999999998</v>
      </c>
      <c r="F312" s="123">
        <f t="shared" si="34"/>
        <v>34</v>
      </c>
      <c r="H312" s="79"/>
    </row>
    <row r="313" spans="1:8" ht="18.75" x14ac:dyDescent="0.3">
      <c r="A313" s="252"/>
      <c r="B313" s="106" t="s">
        <v>363</v>
      </c>
      <c r="C313" s="107"/>
      <c r="D313" s="126">
        <v>7252.4</v>
      </c>
      <c r="E313" s="126">
        <v>-44.8</v>
      </c>
      <c r="F313" s="123">
        <f t="shared" si="34"/>
        <v>7207.5999999999995</v>
      </c>
      <c r="H313" s="79"/>
    </row>
    <row r="314" spans="1:8" ht="18.75" x14ac:dyDescent="0.3">
      <c r="A314" s="252"/>
      <c r="B314" s="106" t="s">
        <v>381</v>
      </c>
      <c r="C314" s="107"/>
      <c r="D314" s="141">
        <f>F141</f>
        <v>945.52188000000001</v>
      </c>
      <c r="E314" s="126">
        <v>-2.5</v>
      </c>
      <c r="F314" s="123">
        <f t="shared" si="34"/>
        <v>943.02188000000001</v>
      </c>
      <c r="H314" s="79"/>
    </row>
    <row r="315" spans="1:8" ht="18.75" x14ac:dyDescent="0.3">
      <c r="A315" s="252"/>
      <c r="B315" s="106" t="s">
        <v>104</v>
      </c>
      <c r="C315" s="107"/>
      <c r="D315" s="141">
        <f>F142</f>
        <v>93523.47812</v>
      </c>
      <c r="E315" s="126">
        <v>2.5</v>
      </c>
      <c r="F315" s="123">
        <f t="shared" si="34"/>
        <v>93525.97812</v>
      </c>
      <c r="H315" s="79"/>
    </row>
    <row r="316" spans="1:8" ht="18.75" x14ac:dyDescent="0.3">
      <c r="A316" s="252"/>
      <c r="B316" s="106" t="s">
        <v>303</v>
      </c>
      <c r="C316" s="107"/>
      <c r="D316" s="126">
        <v>21151.200000000001</v>
      </c>
      <c r="E316" s="126">
        <f>-70.1+28.3-0.29</f>
        <v>-42.089999999999996</v>
      </c>
      <c r="F316" s="123">
        <f t="shared" ref="F316:F319" si="37">SUM(D316:E316)</f>
        <v>21109.11</v>
      </c>
      <c r="H316" s="79"/>
    </row>
    <row r="317" spans="1:8" ht="18.75" x14ac:dyDescent="0.3">
      <c r="A317" s="252"/>
      <c r="B317" s="106" t="s">
        <v>114</v>
      </c>
      <c r="C317" s="107"/>
      <c r="D317" s="126">
        <v>1108.8</v>
      </c>
      <c r="E317" s="126">
        <f>70.1-28.3+0.29</f>
        <v>42.089999999999996</v>
      </c>
      <c r="F317" s="123">
        <f t="shared" si="37"/>
        <v>1150.8899999999999</v>
      </c>
    </row>
    <row r="318" spans="1:8" ht="18.75" x14ac:dyDescent="0.3">
      <c r="A318" s="254" t="s">
        <v>26</v>
      </c>
      <c r="B318" s="121" t="s">
        <v>311</v>
      </c>
      <c r="C318" s="122"/>
      <c r="D318" s="123">
        <v>0</v>
      </c>
      <c r="E318" s="123">
        <v>34.420999999999999</v>
      </c>
      <c r="F318" s="124">
        <f t="shared" si="37"/>
        <v>34.420999999999999</v>
      </c>
    </row>
    <row r="319" spans="1:8" ht="18.75" x14ac:dyDescent="0.3">
      <c r="A319" s="254"/>
      <c r="B319" s="121" t="s">
        <v>304</v>
      </c>
      <c r="C319" s="122"/>
      <c r="D319" s="123">
        <v>0</v>
      </c>
      <c r="E319" s="123">
        <v>804.02089999999998</v>
      </c>
      <c r="F319" s="124">
        <f t="shared" si="37"/>
        <v>804.02089999999998</v>
      </c>
    </row>
    <row r="320" spans="1:8" ht="18.75" x14ac:dyDescent="0.3">
      <c r="A320" s="254"/>
      <c r="B320" s="121" t="s">
        <v>559</v>
      </c>
      <c r="C320" s="122"/>
      <c r="D320" s="123">
        <v>0</v>
      </c>
      <c r="E320" s="123">
        <v>77.608999999999995</v>
      </c>
      <c r="F320" s="124">
        <f t="shared" ref="F320:F332" si="38">SUM(D320:E320)</f>
        <v>77.608999999999995</v>
      </c>
    </row>
    <row r="321" spans="1:8" ht="18.75" x14ac:dyDescent="0.3">
      <c r="A321" s="254"/>
      <c r="B321" s="121" t="s">
        <v>340</v>
      </c>
      <c r="C321" s="122"/>
      <c r="D321" s="123">
        <v>92442.1</v>
      </c>
      <c r="E321" s="123">
        <f>-2998.6-3000</f>
        <v>-5998.6</v>
      </c>
      <c r="F321" s="124">
        <f t="shared" si="38"/>
        <v>86443.5</v>
      </c>
    </row>
    <row r="322" spans="1:8" ht="18.75" x14ac:dyDescent="0.3">
      <c r="A322" s="254"/>
      <c r="B322" s="106" t="s">
        <v>271</v>
      </c>
      <c r="C322" s="107"/>
      <c r="D322" s="126">
        <v>98988.6</v>
      </c>
      <c r="E322" s="126">
        <f>225.4-1218.2</f>
        <v>-992.80000000000007</v>
      </c>
      <c r="F322" s="123">
        <f t="shared" ref="F322:F325" si="39">SUM(D322:E322)</f>
        <v>97995.8</v>
      </c>
      <c r="H322" s="128"/>
    </row>
    <row r="323" spans="1:8" ht="18.75" x14ac:dyDescent="0.3">
      <c r="A323" s="254"/>
      <c r="B323" s="106" t="s">
        <v>270</v>
      </c>
      <c r="C323" s="107"/>
      <c r="D323" s="126">
        <v>14334.4</v>
      </c>
      <c r="E323" s="126">
        <f>-500-1241.9-135.9</f>
        <v>-1877.8000000000002</v>
      </c>
      <c r="F323" s="123">
        <f t="shared" si="39"/>
        <v>12456.599999999999</v>
      </c>
    </row>
    <row r="324" spans="1:8" ht="18.75" x14ac:dyDescent="0.3">
      <c r="A324" s="254"/>
      <c r="B324" s="106" t="s">
        <v>500</v>
      </c>
      <c r="C324" s="107"/>
      <c r="D324" s="126">
        <v>5120</v>
      </c>
      <c r="E324" s="126">
        <v>-4640.3</v>
      </c>
      <c r="F324" s="123">
        <f t="shared" si="39"/>
        <v>479.69999999999982</v>
      </c>
    </row>
    <row r="325" spans="1:8" ht="18.75" x14ac:dyDescent="0.3">
      <c r="A325" s="254"/>
      <c r="B325" s="106" t="s">
        <v>501</v>
      </c>
      <c r="C325" s="107"/>
      <c r="D325" s="126">
        <v>775</v>
      </c>
      <c r="E325" s="126">
        <v>-775</v>
      </c>
      <c r="F325" s="123">
        <f t="shared" si="39"/>
        <v>0</v>
      </c>
    </row>
    <row r="326" spans="1:8" ht="18.75" x14ac:dyDescent="0.3">
      <c r="A326" s="254"/>
      <c r="B326" s="121" t="s">
        <v>328</v>
      </c>
      <c r="C326" s="122"/>
      <c r="D326" s="123">
        <v>714</v>
      </c>
      <c r="E326" s="123">
        <v>47.4</v>
      </c>
      <c r="F326" s="124">
        <f t="shared" si="38"/>
        <v>761.4</v>
      </c>
      <c r="H326" s="79"/>
    </row>
    <row r="327" spans="1:8" ht="18.75" x14ac:dyDescent="0.3">
      <c r="A327" s="254"/>
      <c r="B327" s="121" t="s">
        <v>329</v>
      </c>
      <c r="C327" s="122"/>
      <c r="D327" s="123">
        <v>3107</v>
      </c>
      <c r="E327" s="123">
        <v>-2963.7</v>
      </c>
      <c r="F327" s="124">
        <f t="shared" si="38"/>
        <v>143.30000000000018</v>
      </c>
      <c r="H327" s="79"/>
    </row>
    <row r="328" spans="1:8" ht="18.75" x14ac:dyDescent="0.3">
      <c r="A328" s="254"/>
      <c r="B328" s="106" t="s">
        <v>326</v>
      </c>
      <c r="C328" s="107"/>
      <c r="D328" s="126">
        <v>8708.9</v>
      </c>
      <c r="E328" s="126">
        <f>399.3+132.9</f>
        <v>532.20000000000005</v>
      </c>
      <c r="F328" s="123">
        <f t="shared" si="38"/>
        <v>9241.1</v>
      </c>
      <c r="H328" s="79"/>
    </row>
    <row r="329" spans="1:8" ht="18.75" x14ac:dyDescent="0.3">
      <c r="A329" s="254"/>
      <c r="B329" s="106" t="s">
        <v>341</v>
      </c>
      <c r="C329" s="107"/>
      <c r="D329" s="126">
        <v>152660</v>
      </c>
      <c r="E329" s="126">
        <f>4453.1+11013.7</f>
        <v>15466.800000000001</v>
      </c>
      <c r="F329" s="123">
        <f t="shared" si="38"/>
        <v>168126.8</v>
      </c>
      <c r="H329" s="79"/>
    </row>
    <row r="330" spans="1:8" ht="18.75" x14ac:dyDescent="0.3">
      <c r="A330" s="254"/>
      <c r="B330" s="106" t="s">
        <v>395</v>
      </c>
      <c r="C330" s="107"/>
      <c r="D330" s="126">
        <v>2623.9</v>
      </c>
      <c r="E330" s="126">
        <f>1113.3+72.6</f>
        <v>1185.8999999999999</v>
      </c>
      <c r="F330" s="123">
        <f t="shared" si="38"/>
        <v>3809.8</v>
      </c>
      <c r="H330" s="79"/>
    </row>
    <row r="331" spans="1:8" ht="18.75" x14ac:dyDescent="0.3">
      <c r="A331" s="254"/>
      <c r="B331" s="106" t="s">
        <v>342</v>
      </c>
      <c r="C331" s="107"/>
      <c r="D331" s="126">
        <v>4858.5</v>
      </c>
      <c r="E331" s="126">
        <v>416.5</v>
      </c>
      <c r="F331" s="123">
        <f t="shared" si="38"/>
        <v>5275</v>
      </c>
    </row>
    <row r="332" spans="1:8" ht="18.75" x14ac:dyDescent="0.3">
      <c r="A332" s="254"/>
      <c r="B332" s="106" t="s">
        <v>272</v>
      </c>
      <c r="C332" s="107"/>
      <c r="D332" s="126">
        <v>1770</v>
      </c>
      <c r="E332" s="126">
        <v>-26.6</v>
      </c>
      <c r="F332" s="123">
        <f t="shared" si="38"/>
        <v>1743.4</v>
      </c>
    </row>
    <row r="333" spans="1:8" ht="18.75" x14ac:dyDescent="0.3">
      <c r="A333" s="254"/>
      <c r="B333" s="106" t="s">
        <v>344</v>
      </c>
      <c r="C333" s="107"/>
      <c r="D333" s="126">
        <v>225.4</v>
      </c>
      <c r="E333" s="126">
        <v>-225.4</v>
      </c>
      <c r="F333" s="123">
        <f t="shared" si="34"/>
        <v>0</v>
      </c>
    </row>
    <row r="334" spans="1:8" ht="18.75" x14ac:dyDescent="0.3">
      <c r="A334" s="254"/>
      <c r="B334" s="106" t="s">
        <v>279</v>
      </c>
      <c r="C334" s="107"/>
      <c r="D334" s="126">
        <v>971.5</v>
      </c>
      <c r="E334" s="126">
        <f>97.7-82</f>
        <v>15.700000000000003</v>
      </c>
      <c r="F334" s="123">
        <f t="shared" si="34"/>
        <v>987.2</v>
      </c>
      <c r="H334" s="127"/>
    </row>
    <row r="335" spans="1:8" ht="18.75" x14ac:dyDescent="0.3">
      <c r="A335" s="254"/>
      <c r="B335" s="106" t="s">
        <v>343</v>
      </c>
      <c r="C335" s="107"/>
      <c r="D335" s="141">
        <v>11890</v>
      </c>
      <c r="E335" s="141">
        <f>500-184.3</f>
        <v>315.7</v>
      </c>
      <c r="F335" s="123">
        <f>D335+E335</f>
        <v>12205.7</v>
      </c>
    </row>
    <row r="336" spans="1:8" s="114" customFormat="1" ht="18.75" customHeight="1" x14ac:dyDescent="0.2">
      <c r="A336" s="254"/>
      <c r="B336" s="106" t="s">
        <v>367</v>
      </c>
      <c r="C336" s="115"/>
      <c r="D336" s="117">
        <f>F160</f>
        <v>15862.172399999999</v>
      </c>
      <c r="E336" s="117">
        <v>-104.15411</v>
      </c>
      <c r="F336" s="117">
        <f>D336+E336</f>
        <v>15758.01829</v>
      </c>
    </row>
    <row r="337" spans="1:6" s="114" customFormat="1" ht="18.75" customHeight="1" x14ac:dyDescent="0.2">
      <c r="A337" s="254"/>
      <c r="B337" s="106" t="s">
        <v>368</v>
      </c>
      <c r="C337" s="115"/>
      <c r="D337" s="117">
        <f>F161</f>
        <v>1718.0787700000001</v>
      </c>
      <c r="E337" s="117">
        <v>-364.65791999999999</v>
      </c>
      <c r="F337" s="117">
        <f t="shared" ref="F337" si="40">D337+E337</f>
        <v>1353.42085</v>
      </c>
    </row>
    <row r="338" spans="1:6" ht="18.75" x14ac:dyDescent="0.3">
      <c r="A338" s="254"/>
      <c r="B338" s="129" t="s">
        <v>547</v>
      </c>
      <c r="C338" s="130"/>
      <c r="D338" s="126">
        <v>7264.9</v>
      </c>
      <c r="E338" s="126">
        <v>258.3</v>
      </c>
      <c r="F338" s="123">
        <f t="shared" ref="F338" si="41">SUM(D338:E338)</f>
        <v>7523.2</v>
      </c>
    </row>
    <row r="339" spans="1:6" ht="18.75" x14ac:dyDescent="0.3">
      <c r="A339" s="254"/>
      <c r="B339" s="129" t="s">
        <v>285</v>
      </c>
      <c r="C339" s="130"/>
      <c r="D339" s="126">
        <v>14209.7</v>
      </c>
      <c r="E339" s="126">
        <f>45-82.5</f>
        <v>-37.5</v>
      </c>
      <c r="F339" s="123">
        <f t="shared" ref="F339" si="42">SUM(D339:E339)</f>
        <v>14172.2</v>
      </c>
    </row>
    <row r="340" spans="1:6" ht="18.75" x14ac:dyDescent="0.3">
      <c r="A340" s="254"/>
      <c r="B340" s="129" t="s">
        <v>509</v>
      </c>
      <c r="C340" s="130"/>
      <c r="D340" s="126">
        <v>4743.3</v>
      </c>
      <c r="E340" s="126">
        <v>-15</v>
      </c>
      <c r="F340" s="123">
        <f t="shared" si="34"/>
        <v>4728.3</v>
      </c>
    </row>
    <row r="341" spans="1:6" ht="18.75" customHeight="1" x14ac:dyDescent="0.3">
      <c r="A341" s="254"/>
      <c r="B341" s="129" t="s">
        <v>510</v>
      </c>
      <c r="C341" s="130"/>
      <c r="D341" s="126">
        <v>515.5</v>
      </c>
      <c r="E341" s="126">
        <v>-16</v>
      </c>
      <c r="F341" s="123">
        <f t="shared" ref="F341" si="43">SUM(D341:E341)</f>
        <v>499.5</v>
      </c>
    </row>
    <row r="342" spans="1:6" ht="18.75" customHeight="1" x14ac:dyDescent="0.3">
      <c r="A342" s="254"/>
      <c r="B342" s="129" t="s">
        <v>545</v>
      </c>
      <c r="C342" s="130"/>
      <c r="D342" s="126">
        <v>814.7</v>
      </c>
      <c r="E342" s="126">
        <v>-31.6</v>
      </c>
      <c r="F342" s="123">
        <f t="shared" ref="F342:F343" si="44">SUM(D342:E342)</f>
        <v>783.1</v>
      </c>
    </row>
    <row r="343" spans="1:6" ht="18.75" customHeight="1" x14ac:dyDescent="0.3">
      <c r="A343" s="254"/>
      <c r="B343" s="129" t="s">
        <v>508</v>
      </c>
      <c r="C343" s="130"/>
      <c r="D343" s="126">
        <v>2966.5</v>
      </c>
      <c r="E343" s="126">
        <f>244.2-1.9</f>
        <v>242.29999999999998</v>
      </c>
      <c r="F343" s="123">
        <f t="shared" si="44"/>
        <v>3208.8</v>
      </c>
    </row>
    <row r="344" spans="1:6" ht="18.75" customHeight="1" x14ac:dyDescent="0.3">
      <c r="A344" s="254"/>
      <c r="B344" s="129" t="s">
        <v>546</v>
      </c>
      <c r="C344" s="130"/>
      <c r="D344" s="126">
        <v>78.099999999999994</v>
      </c>
      <c r="E344" s="126">
        <v>-6.4</v>
      </c>
      <c r="F344" s="123">
        <f t="shared" si="34"/>
        <v>71.699999999999989</v>
      </c>
    </row>
    <row r="345" spans="1:6" ht="18.75" customHeight="1" x14ac:dyDescent="0.25">
      <c r="A345" s="158"/>
      <c r="B345" s="255" t="s">
        <v>325</v>
      </c>
      <c r="C345" s="256"/>
      <c r="D345" s="256"/>
      <c r="E345" s="256"/>
      <c r="F345" s="257"/>
    </row>
    <row r="346" spans="1:6" ht="18.75" customHeight="1" x14ac:dyDescent="0.3">
      <c r="A346" s="158"/>
      <c r="B346" s="131" t="s">
        <v>326</v>
      </c>
      <c r="C346" s="132"/>
      <c r="D346" s="133">
        <v>1013.6</v>
      </c>
      <c r="E346" s="134">
        <v>-1013.57</v>
      </c>
      <c r="F346" s="135">
        <f>D346+E346</f>
        <v>2.9999999999972715E-2</v>
      </c>
    </row>
    <row r="347" spans="1:6" ht="18.75" customHeight="1" x14ac:dyDescent="0.3">
      <c r="A347" s="158"/>
      <c r="B347" s="131" t="s">
        <v>327</v>
      </c>
      <c r="C347" s="136"/>
      <c r="D347" s="133">
        <v>770</v>
      </c>
      <c r="E347" s="134">
        <v>-770</v>
      </c>
      <c r="F347" s="135">
        <f t="shared" ref="F347:F350" si="45">D347+E347</f>
        <v>0</v>
      </c>
    </row>
    <row r="348" spans="1:6" ht="18.75" customHeight="1" x14ac:dyDescent="0.3">
      <c r="A348" s="158"/>
      <c r="B348" s="131" t="s">
        <v>328</v>
      </c>
      <c r="C348" s="137"/>
      <c r="D348" s="133">
        <v>400</v>
      </c>
      <c r="E348" s="134">
        <v>-400</v>
      </c>
      <c r="F348" s="135">
        <f t="shared" si="45"/>
        <v>0</v>
      </c>
    </row>
    <row r="349" spans="1:6" ht="18.75" customHeight="1" x14ac:dyDescent="0.3">
      <c r="A349" s="158"/>
      <c r="B349" s="131" t="s">
        <v>329</v>
      </c>
      <c r="C349" s="137"/>
      <c r="D349" s="133">
        <v>0</v>
      </c>
      <c r="E349" s="134">
        <v>2964</v>
      </c>
      <c r="F349" s="135">
        <f t="shared" si="45"/>
        <v>2964</v>
      </c>
    </row>
    <row r="350" spans="1:6" ht="18" customHeight="1" x14ac:dyDescent="0.3">
      <c r="A350" s="158"/>
      <c r="B350" s="131" t="s">
        <v>272</v>
      </c>
      <c r="C350" s="132"/>
      <c r="D350" s="138">
        <v>1500</v>
      </c>
      <c r="E350" s="139">
        <v>-780.43</v>
      </c>
      <c r="F350" s="140">
        <f t="shared" si="45"/>
        <v>719.57</v>
      </c>
    </row>
    <row r="351" spans="1:6" ht="17.25" customHeight="1" x14ac:dyDescent="0.35">
      <c r="A351" s="80" t="s">
        <v>6</v>
      </c>
      <c r="B351" s="258"/>
      <c r="C351" s="259"/>
      <c r="D351" s="112" t="s">
        <v>20</v>
      </c>
      <c r="E351" s="154">
        <f>SUM(E207:E344)</f>
        <v>-40137.406590000006</v>
      </c>
      <c r="F351" s="112"/>
    </row>
    <row r="352" spans="1:6" ht="24.75" customHeight="1" x14ac:dyDescent="0.35">
      <c r="A352" s="81"/>
      <c r="B352" s="82"/>
      <c r="C352" s="82"/>
      <c r="D352" s="83"/>
      <c r="E352" s="84"/>
      <c r="F352" s="84"/>
    </row>
    <row r="353" spans="1:8" ht="45.75" customHeight="1" x14ac:dyDescent="0.3">
      <c r="A353" s="260" t="s">
        <v>564</v>
      </c>
      <c r="B353" s="260"/>
      <c r="C353" s="260"/>
      <c r="D353" s="260"/>
      <c r="E353" s="260"/>
      <c r="F353" s="260"/>
    </row>
    <row r="354" spans="1:8" ht="24.75" customHeight="1" x14ac:dyDescent="0.35">
      <c r="A354" s="81"/>
      <c r="B354" s="82"/>
      <c r="C354" s="82"/>
      <c r="D354" s="83"/>
      <c r="E354" s="84"/>
      <c r="F354" s="84"/>
    </row>
    <row r="355" spans="1:8" s="58" customFormat="1" ht="21" customHeight="1" x14ac:dyDescent="0.3">
      <c r="A355" s="260" t="s">
        <v>232</v>
      </c>
      <c r="B355" s="260"/>
      <c r="C355" s="260"/>
      <c r="D355" s="260"/>
      <c r="E355" s="260"/>
      <c r="F355" s="260"/>
      <c r="H355" s="103"/>
    </row>
    <row r="356" spans="1:8" ht="18" customHeight="1" x14ac:dyDescent="0.25">
      <c r="A356" s="56"/>
      <c r="B356" s="56"/>
      <c r="C356" s="111"/>
      <c r="D356" s="111"/>
      <c r="E356" s="111"/>
      <c r="F356" s="57" t="s">
        <v>253</v>
      </c>
    </row>
    <row r="357" spans="1:8" ht="19.5" customHeight="1" x14ac:dyDescent="0.3">
      <c r="A357" s="261" t="s">
        <v>10</v>
      </c>
      <c r="B357" s="262"/>
      <c r="C357" s="261" t="s">
        <v>11</v>
      </c>
      <c r="D357" s="263"/>
      <c r="E357" s="263"/>
      <c r="F357" s="262"/>
      <c r="G357" s="85">
        <f>B358+B360+B361+B359-F358</f>
        <v>1.6709999996237457E-2</v>
      </c>
    </row>
    <row r="358" spans="1:8" ht="18.75" customHeight="1" x14ac:dyDescent="0.25">
      <c r="A358" s="102"/>
      <c r="B358" s="92"/>
      <c r="C358" s="264" t="s">
        <v>266</v>
      </c>
      <c r="D358" s="264"/>
      <c r="E358" s="264"/>
      <c r="F358" s="265">
        <f>E164</f>
        <v>-33432.016709999996</v>
      </c>
    </row>
    <row r="359" spans="1:8" ht="20.25" customHeight="1" x14ac:dyDescent="0.25">
      <c r="A359" s="102" t="s">
        <v>12</v>
      </c>
      <c r="B359" s="172">
        <f>H7</f>
        <v>-11221.5</v>
      </c>
      <c r="C359" s="264"/>
      <c r="D359" s="264"/>
      <c r="E359" s="264"/>
      <c r="F359" s="266"/>
    </row>
    <row r="360" spans="1:8" ht="16.5" customHeight="1" x14ac:dyDescent="0.3">
      <c r="A360" s="168" t="s">
        <v>13</v>
      </c>
      <c r="B360" s="172">
        <f>H8</f>
        <v>-24904</v>
      </c>
      <c r="C360" s="264"/>
      <c r="D360" s="264"/>
      <c r="E360" s="264"/>
      <c r="F360" s="266"/>
    </row>
    <row r="361" spans="1:8" ht="19.5" customHeight="1" x14ac:dyDescent="0.25">
      <c r="A361" s="169" t="s">
        <v>28</v>
      </c>
      <c r="B361" s="172">
        <f>H9</f>
        <v>2693.5</v>
      </c>
      <c r="C361" s="264"/>
      <c r="D361" s="264"/>
      <c r="E361" s="264"/>
      <c r="F361" s="267"/>
    </row>
    <row r="362" spans="1:8" ht="24" customHeight="1" x14ac:dyDescent="0.25">
      <c r="A362" s="170" t="s">
        <v>84</v>
      </c>
      <c r="B362" s="173">
        <f>H78</f>
        <v>-9.2000000000000028</v>
      </c>
      <c r="C362" s="250" t="s">
        <v>335</v>
      </c>
      <c r="D362" s="245"/>
      <c r="E362" s="246"/>
      <c r="F362" s="92">
        <v>50</v>
      </c>
      <c r="G362" s="85">
        <f>SUM(F362:F384)</f>
        <v>-40137.4</v>
      </c>
      <c r="H362" s="153">
        <f>E351-G362</f>
        <v>-6.5900000045076013E-3</v>
      </c>
    </row>
    <row r="363" spans="1:8" ht="24" customHeight="1" thickBot="1" x14ac:dyDescent="0.3">
      <c r="A363" s="275" t="s">
        <v>250</v>
      </c>
      <c r="B363" s="278">
        <f>H75</f>
        <v>-3517.4</v>
      </c>
      <c r="C363" s="245" t="s">
        <v>339</v>
      </c>
      <c r="D363" s="245"/>
      <c r="E363" s="246"/>
      <c r="F363" s="92">
        <f>11.5</f>
        <v>11.5</v>
      </c>
    </row>
    <row r="364" spans="1:8" ht="24" customHeight="1" thickBot="1" x14ac:dyDescent="0.3">
      <c r="A364" s="276"/>
      <c r="B364" s="279"/>
      <c r="C364" s="250" t="s">
        <v>530</v>
      </c>
      <c r="D364" s="245"/>
      <c r="E364" s="246"/>
      <c r="F364" s="92">
        <f>-1.246-0.27608+0.03055</f>
        <v>-1.4915299999999998</v>
      </c>
    </row>
    <row r="365" spans="1:8" ht="24" customHeight="1" thickBot="1" x14ac:dyDescent="0.3">
      <c r="A365" s="276"/>
      <c r="B365" s="279"/>
      <c r="C365" s="250" t="s">
        <v>531</v>
      </c>
      <c r="D365" s="245"/>
      <c r="E365" s="246"/>
      <c r="F365" s="92">
        <v>-634.77710000000002</v>
      </c>
    </row>
    <row r="366" spans="1:8" ht="20.25" customHeight="1" thickBot="1" x14ac:dyDescent="0.3">
      <c r="A366" s="276"/>
      <c r="B366" s="280"/>
      <c r="C366" s="245" t="s">
        <v>511</v>
      </c>
      <c r="D366" s="245"/>
      <c r="E366" s="246"/>
      <c r="F366" s="92">
        <f>497+377.1</f>
        <v>874.1</v>
      </c>
    </row>
    <row r="367" spans="1:8" ht="21.75" customHeight="1" thickBot="1" x14ac:dyDescent="0.3">
      <c r="A367" s="276"/>
      <c r="B367" s="280"/>
      <c r="C367" s="245" t="s">
        <v>350</v>
      </c>
      <c r="D367" s="245"/>
      <c r="E367" s="246"/>
      <c r="F367" s="92">
        <f>-5018-19.7-23.9-1963.1+1590.2+145</f>
        <v>-5289.4999999999991</v>
      </c>
    </row>
    <row r="368" spans="1:8" ht="21.75" customHeight="1" thickBot="1" x14ac:dyDescent="0.3">
      <c r="A368" s="276"/>
      <c r="B368" s="280"/>
      <c r="C368" s="245" t="s">
        <v>372</v>
      </c>
      <c r="D368" s="245"/>
      <c r="E368" s="246"/>
      <c r="F368" s="92">
        <f>-4862.1-137.9-191.7-164.4+261.7</f>
        <v>-5094.3999999999996</v>
      </c>
    </row>
    <row r="369" spans="1:7" ht="18.75" customHeight="1" thickBot="1" x14ac:dyDescent="0.3">
      <c r="A369" s="276"/>
      <c r="B369" s="280"/>
      <c r="C369" s="245" t="s">
        <v>360</v>
      </c>
      <c r="D369" s="245"/>
      <c r="E369" s="246"/>
      <c r="F369" s="92">
        <v>-288.42313999999999</v>
      </c>
    </row>
    <row r="370" spans="1:7" ht="18.75" customHeight="1" thickBot="1" x14ac:dyDescent="0.3">
      <c r="A370" s="276"/>
      <c r="B370" s="280"/>
      <c r="C370" s="245" t="s">
        <v>522</v>
      </c>
      <c r="D370" s="245"/>
      <c r="E370" s="246"/>
      <c r="F370" s="92">
        <f>-3-32.8+6</f>
        <v>-29.799999999999997</v>
      </c>
    </row>
    <row r="371" spans="1:7" ht="18.75" customHeight="1" thickBot="1" x14ac:dyDescent="0.3">
      <c r="A371" s="276"/>
      <c r="B371" s="280"/>
      <c r="C371" s="245" t="s">
        <v>365</v>
      </c>
      <c r="D371" s="245"/>
      <c r="E371" s="246"/>
      <c r="F371" s="92">
        <v>-47.1</v>
      </c>
    </row>
    <row r="372" spans="1:7" ht="18.75" customHeight="1" thickBot="1" x14ac:dyDescent="0.3">
      <c r="A372" s="276"/>
      <c r="B372" s="280"/>
      <c r="C372" s="245" t="s">
        <v>366</v>
      </c>
      <c r="D372" s="245"/>
      <c r="E372" s="246"/>
      <c r="F372" s="92">
        <v>-699.1</v>
      </c>
    </row>
    <row r="373" spans="1:7" ht="19.5" customHeight="1" thickBot="1" x14ac:dyDescent="0.3">
      <c r="A373" s="276"/>
      <c r="B373" s="281"/>
      <c r="C373" s="245" t="s">
        <v>369</v>
      </c>
      <c r="D373" s="245"/>
      <c r="E373" s="246"/>
      <c r="F373" s="92">
        <v>-468.81202999999999</v>
      </c>
    </row>
    <row r="374" spans="1:7" ht="19.5" customHeight="1" thickBot="1" x14ac:dyDescent="0.3">
      <c r="A374" s="276"/>
      <c r="B374" s="281"/>
      <c r="C374" s="245" t="s">
        <v>482</v>
      </c>
      <c r="D374" s="245"/>
      <c r="E374" s="246"/>
      <c r="F374" s="92">
        <f>30-39.1-0.5-43.3+43.2</f>
        <v>-9.6999999999999957</v>
      </c>
    </row>
    <row r="375" spans="1:7" ht="19.5" customHeight="1" thickBot="1" x14ac:dyDescent="0.3">
      <c r="A375" s="276"/>
      <c r="B375" s="281"/>
      <c r="C375" s="245" t="s">
        <v>30</v>
      </c>
      <c r="D375" s="245"/>
      <c r="E375" s="246"/>
      <c r="F375" s="92">
        <f>347-376.9+125.5+126.1+357</f>
        <v>578.70000000000005</v>
      </c>
    </row>
    <row r="376" spans="1:7" ht="19.5" customHeight="1" thickBot="1" x14ac:dyDescent="0.3">
      <c r="A376" s="276"/>
      <c r="B376" s="281"/>
      <c r="C376" s="245" t="s">
        <v>483</v>
      </c>
      <c r="D376" s="245"/>
      <c r="E376" s="246"/>
      <c r="F376" s="92">
        <f>-347-7481.0962-11.5</f>
        <v>-7839.5962</v>
      </c>
    </row>
    <row r="377" spans="1:7" ht="19.5" customHeight="1" thickBot="1" x14ac:dyDescent="0.3">
      <c r="A377" s="276"/>
      <c r="B377" s="281"/>
      <c r="C377" s="245" t="s">
        <v>486</v>
      </c>
      <c r="D377" s="245"/>
      <c r="E377" s="246"/>
      <c r="F377" s="92">
        <f>-127-215.5+212.9-4542.9</f>
        <v>-4672.5</v>
      </c>
    </row>
    <row r="378" spans="1:7" ht="19.5" customHeight="1" thickBot="1" x14ac:dyDescent="0.3">
      <c r="A378" s="276"/>
      <c r="B378" s="281"/>
      <c r="C378" s="245" t="s">
        <v>488</v>
      </c>
      <c r="D378" s="245"/>
      <c r="E378" s="246"/>
      <c r="F378" s="92">
        <f>-23.7-150+132.8</f>
        <v>-40.899999999999977</v>
      </c>
    </row>
    <row r="379" spans="1:7" ht="19.5" customHeight="1" thickBot="1" x14ac:dyDescent="0.3">
      <c r="A379" s="276"/>
      <c r="B379" s="281"/>
      <c r="C379" s="245" t="s">
        <v>539</v>
      </c>
      <c r="D379" s="245"/>
      <c r="E379" s="246"/>
      <c r="F379" s="92">
        <f>369.4+850.1-410+3124.4+1700</f>
        <v>5633.9</v>
      </c>
    </row>
    <row r="380" spans="1:7" ht="19.5" customHeight="1" thickBot="1" x14ac:dyDescent="0.3">
      <c r="A380" s="276"/>
      <c r="B380" s="281"/>
      <c r="C380" s="245" t="s">
        <v>521</v>
      </c>
      <c r="D380" s="245"/>
      <c r="E380" s="246"/>
      <c r="F380" s="92">
        <v>-555.6</v>
      </c>
    </row>
    <row r="381" spans="1:7" ht="19.5" customHeight="1" thickBot="1" x14ac:dyDescent="0.3">
      <c r="A381" s="276"/>
      <c r="B381" s="281"/>
      <c r="C381" s="245" t="s">
        <v>34</v>
      </c>
      <c r="D381" s="245"/>
      <c r="E381" s="246"/>
      <c r="F381" s="92">
        <f>-21400-30.7</f>
        <v>-21430.7</v>
      </c>
    </row>
    <row r="382" spans="1:7" ht="19.5" customHeight="1" thickBot="1" x14ac:dyDescent="0.3">
      <c r="A382" s="276"/>
      <c r="B382" s="281"/>
      <c r="C382" s="245" t="s">
        <v>268</v>
      </c>
      <c r="D382" s="245"/>
      <c r="E382" s="246"/>
      <c r="F382" s="92">
        <v>-62.3</v>
      </c>
    </row>
    <row r="383" spans="1:7" ht="19.5" customHeight="1" x14ac:dyDescent="0.25">
      <c r="A383" s="277"/>
      <c r="B383" s="282"/>
      <c r="C383" s="245" t="s">
        <v>280</v>
      </c>
      <c r="D383" s="245"/>
      <c r="E383" s="246"/>
      <c r="F383" s="92">
        <v>-23.9</v>
      </c>
    </row>
    <row r="384" spans="1:7" ht="19.5" customHeight="1" x14ac:dyDescent="0.25">
      <c r="A384" s="160" t="s">
        <v>390</v>
      </c>
      <c r="B384" s="151">
        <f>-5279-50-31281.8</f>
        <v>-36610.800000000003</v>
      </c>
      <c r="C384" s="245" t="s">
        <v>380</v>
      </c>
      <c r="D384" s="245"/>
      <c r="E384" s="246"/>
      <c r="F384" s="92">
        <f>-97-41.7+41.7</f>
        <v>-96.999999999999986</v>
      </c>
      <c r="G384" s="85"/>
    </row>
    <row r="385" spans="1:8" ht="17.25" customHeight="1" x14ac:dyDescent="0.35">
      <c r="A385" s="150" t="s">
        <v>9</v>
      </c>
      <c r="B385" s="152">
        <f>SUM(B358:B384)</f>
        <v>-73569.399999999994</v>
      </c>
      <c r="C385" s="272" t="s">
        <v>9</v>
      </c>
      <c r="D385" s="272"/>
      <c r="E385" s="272"/>
      <c r="F385" s="88">
        <f>SUM(F358:F384)</f>
        <v>-73569.41670999999</v>
      </c>
      <c r="G385" s="171">
        <f>F385-B385</f>
        <v>-1.6709999996237457E-2</v>
      </c>
    </row>
    <row r="386" spans="1:8" ht="15.75" customHeight="1" x14ac:dyDescent="0.3">
      <c r="A386" s="159"/>
      <c r="B386" s="86"/>
      <c r="C386" s="159"/>
      <c r="D386" s="159"/>
      <c r="E386" s="159"/>
      <c r="F386" s="87"/>
      <c r="H386" s="153"/>
    </row>
    <row r="387" spans="1:8" ht="18.75" customHeight="1" x14ac:dyDescent="0.3">
      <c r="A387" s="273" t="s">
        <v>66</v>
      </c>
      <c r="B387" s="273"/>
      <c r="C387" s="273"/>
      <c r="D387" s="273"/>
      <c r="E387" s="274" t="s">
        <v>67</v>
      </c>
      <c r="F387" s="274"/>
    </row>
    <row r="388" spans="1:8" ht="19.5" x14ac:dyDescent="0.35">
      <c r="A388" s="81"/>
      <c r="B388" s="82"/>
      <c r="C388" s="82"/>
      <c r="D388" s="83"/>
      <c r="E388" s="84"/>
      <c r="F388" s="83"/>
    </row>
    <row r="389" spans="1:8" x14ac:dyDescent="0.25">
      <c r="B389" s="85"/>
      <c r="E389" s="79" t="s">
        <v>245</v>
      </c>
    </row>
    <row r="390" spans="1:8" x14ac:dyDescent="0.25">
      <c r="F390" s="103"/>
      <c r="H390" s="79"/>
    </row>
  </sheetData>
  <mergeCells count="129">
    <mergeCell ref="A196:F196"/>
    <mergeCell ref="C380:E380"/>
    <mergeCell ref="C365:E365"/>
    <mergeCell ref="C364:E364"/>
    <mergeCell ref="A242:A247"/>
    <mergeCell ref="C381:E381"/>
    <mergeCell ref="A6:C6"/>
    <mergeCell ref="A1:F1"/>
    <mergeCell ref="A2:F2"/>
    <mergeCell ref="A3:F3"/>
    <mergeCell ref="A4:F4"/>
    <mergeCell ref="A5:F5"/>
    <mergeCell ref="A81:F81"/>
    <mergeCell ref="A7:D7"/>
    <mergeCell ref="A8:C8"/>
    <mergeCell ref="A9:E9"/>
    <mergeCell ref="A10:F10"/>
    <mergeCell ref="A11:C11"/>
    <mergeCell ref="A12:F12"/>
    <mergeCell ref="A13:C13"/>
    <mergeCell ref="A15:F15"/>
    <mergeCell ref="A78:F78"/>
    <mergeCell ref="A79:F79"/>
    <mergeCell ref="A80:F80"/>
    <mergeCell ref="A82:D82"/>
    <mergeCell ref="A83:F83"/>
    <mergeCell ref="A84:F84"/>
    <mergeCell ref="A86:F86"/>
    <mergeCell ref="A87:F87"/>
    <mergeCell ref="A88:F88"/>
    <mergeCell ref="A89:F89"/>
    <mergeCell ref="A90:F90"/>
    <mergeCell ref="A94:F94"/>
    <mergeCell ref="A91:F91"/>
    <mergeCell ref="A92:F92"/>
    <mergeCell ref="A190:F190"/>
    <mergeCell ref="A184:F184"/>
    <mergeCell ref="A188:F188"/>
    <mergeCell ref="A175:F175"/>
    <mergeCell ref="A160:A163"/>
    <mergeCell ref="B164:C164"/>
    <mergeCell ref="A166:F166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86:F186"/>
    <mergeCell ref="A199:F199"/>
    <mergeCell ref="A200:F200"/>
    <mergeCell ref="A201:F201"/>
    <mergeCell ref="B206:C206"/>
    <mergeCell ref="A207:A238"/>
    <mergeCell ref="A239:A241"/>
    <mergeCell ref="A248:A258"/>
    <mergeCell ref="A259:A287"/>
    <mergeCell ref="A203:F203"/>
    <mergeCell ref="A202:F202"/>
    <mergeCell ref="A204:F204"/>
    <mergeCell ref="C383:E383"/>
    <mergeCell ref="C384:E384"/>
    <mergeCell ref="C385:E385"/>
    <mergeCell ref="A387:D387"/>
    <mergeCell ref="E387:F387"/>
    <mergeCell ref="A363:A383"/>
    <mergeCell ref="B363:B383"/>
    <mergeCell ref="C363:E363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8:E378"/>
    <mergeCell ref="C379:E379"/>
    <mergeCell ref="C382:E382"/>
    <mergeCell ref="A198:F198"/>
    <mergeCell ref="A103:F103"/>
    <mergeCell ref="A93:F93"/>
    <mergeCell ref="A102:F102"/>
    <mergeCell ref="A98:F98"/>
    <mergeCell ref="A99:F99"/>
    <mergeCell ref="A100:F100"/>
    <mergeCell ref="A101:F101"/>
    <mergeCell ref="A104:F104"/>
    <mergeCell ref="B106:C106"/>
    <mergeCell ref="A95:F95"/>
    <mergeCell ref="A96:F96"/>
    <mergeCell ref="A97:F97"/>
    <mergeCell ref="A191:F191"/>
    <mergeCell ref="A176:F176"/>
    <mergeCell ref="A177:F177"/>
    <mergeCell ref="A178:F178"/>
    <mergeCell ref="A179:F179"/>
    <mergeCell ref="A180:F180"/>
    <mergeCell ref="A181:F181"/>
    <mergeCell ref="A183:F183"/>
    <mergeCell ref="A185:F185"/>
    <mergeCell ref="A187:F187"/>
    <mergeCell ref="A189:F189"/>
    <mergeCell ref="A195:F195"/>
    <mergeCell ref="A192:F192"/>
    <mergeCell ref="C374:E374"/>
    <mergeCell ref="C375:E375"/>
    <mergeCell ref="A193:F193"/>
    <mergeCell ref="C376:E376"/>
    <mergeCell ref="A194:F194"/>
    <mergeCell ref="C377:E377"/>
    <mergeCell ref="A107:A151"/>
    <mergeCell ref="A153:A159"/>
    <mergeCell ref="C362:E362"/>
    <mergeCell ref="A300:A309"/>
    <mergeCell ref="A310:A317"/>
    <mergeCell ref="A318:A344"/>
    <mergeCell ref="B345:F345"/>
    <mergeCell ref="B351:C351"/>
    <mergeCell ref="A353:F353"/>
    <mergeCell ref="A355:F355"/>
    <mergeCell ref="A357:B357"/>
    <mergeCell ref="C357:F357"/>
    <mergeCell ref="C358:E361"/>
    <mergeCell ref="F358:F361"/>
    <mergeCell ref="A288:A299"/>
    <mergeCell ref="A197:F197"/>
  </mergeCells>
  <pageMargins left="0.70866141732283472" right="0.11811023622047245" top="0.55118110236220474" bottom="0.15748031496062992" header="0.31496062992125984" footer="0.31496062992125984"/>
  <pageSetup paperSize="9" scale="72" fitToHeight="11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4"/>
  <sheetViews>
    <sheetView tabSelected="1" topLeftCell="A328" zoomScaleNormal="100" zoomScaleSheetLayoutView="78" workbookViewId="0">
      <selection activeCell="B345" sqref="B345"/>
    </sheetView>
  </sheetViews>
  <sheetFormatPr defaultColWidth="9.140625" defaultRowHeight="18" x14ac:dyDescent="0.25"/>
  <cols>
    <col min="1" max="1" width="44" style="79" customWidth="1"/>
    <col min="2" max="2" width="14.7109375" style="79" customWidth="1"/>
    <col min="3" max="3" width="16.42578125" style="79" customWidth="1"/>
    <col min="4" max="4" width="15.7109375" style="79" customWidth="1"/>
    <col min="5" max="5" width="20.5703125" style="79" customWidth="1"/>
    <col min="6" max="6" width="22.28515625" style="79" customWidth="1"/>
    <col min="7" max="7" width="18.28515625" style="79" customWidth="1"/>
    <col min="8" max="8" width="3.5703125" style="79" customWidth="1"/>
    <col min="9" max="9" width="9.140625" style="79"/>
    <col min="10" max="10" width="11.7109375" style="79" customWidth="1"/>
    <col min="11" max="11" width="12.140625" style="79" customWidth="1"/>
    <col min="12" max="16384" width="9.140625" style="79"/>
  </cols>
  <sheetData>
    <row r="1" spans="1:6" ht="19.5" customHeight="1" x14ac:dyDescent="0.3">
      <c r="A1" s="291" t="s">
        <v>0</v>
      </c>
      <c r="B1" s="291"/>
      <c r="C1" s="291"/>
      <c r="D1" s="291"/>
      <c r="E1" s="291"/>
      <c r="F1" s="291"/>
    </row>
    <row r="2" spans="1:6" ht="66.75" customHeight="1" x14ac:dyDescent="0.25">
      <c r="A2" s="292" t="s">
        <v>247</v>
      </c>
      <c r="B2" s="292"/>
      <c r="C2" s="292"/>
      <c r="D2" s="292"/>
      <c r="E2" s="292"/>
      <c r="F2" s="292"/>
    </row>
    <row r="3" spans="1:6" ht="18.75" x14ac:dyDescent="0.25">
      <c r="A3" s="293" t="s">
        <v>248</v>
      </c>
      <c r="B3" s="293"/>
      <c r="C3" s="293"/>
      <c r="D3" s="293"/>
      <c r="E3" s="293"/>
      <c r="F3" s="293"/>
    </row>
    <row r="4" spans="1:6" ht="18.75" x14ac:dyDescent="0.25">
      <c r="A4" s="293"/>
      <c r="B4" s="293"/>
      <c r="C4" s="293"/>
      <c r="D4" s="293"/>
      <c r="E4" s="293"/>
      <c r="F4" s="293"/>
    </row>
    <row r="5" spans="1:6" ht="77.25" customHeight="1" x14ac:dyDescent="0.25">
      <c r="A5" s="293" t="s">
        <v>629</v>
      </c>
      <c r="B5" s="293"/>
      <c r="C5" s="293"/>
      <c r="D5" s="293"/>
      <c r="E5" s="293"/>
      <c r="F5" s="293"/>
    </row>
    <row r="6" spans="1:6" ht="15.75" hidden="1" customHeight="1" x14ac:dyDescent="0.3">
      <c r="A6" s="290" t="s">
        <v>288</v>
      </c>
      <c r="B6" s="290"/>
      <c r="C6" s="290"/>
      <c r="D6" s="89"/>
      <c r="E6" s="89"/>
      <c r="F6" s="89"/>
    </row>
    <row r="7" spans="1:6" ht="18.75" customHeight="1" x14ac:dyDescent="0.3">
      <c r="A7" s="290" t="s">
        <v>571</v>
      </c>
      <c r="B7" s="290"/>
      <c r="C7" s="290"/>
      <c r="D7" s="290"/>
      <c r="E7" s="89"/>
      <c r="F7" s="89"/>
    </row>
    <row r="8" spans="1:6" ht="18" customHeight="1" x14ac:dyDescent="0.3">
      <c r="A8" s="290" t="s">
        <v>527</v>
      </c>
      <c r="B8" s="290"/>
      <c r="C8" s="290"/>
      <c r="D8" s="89"/>
      <c r="E8" s="89"/>
      <c r="F8" s="89"/>
    </row>
    <row r="9" spans="1:6" ht="15.75" customHeight="1" x14ac:dyDescent="0.3">
      <c r="A9" s="295" t="s">
        <v>481</v>
      </c>
      <c r="B9" s="295"/>
      <c r="C9" s="295"/>
      <c r="D9" s="295"/>
      <c r="E9" s="295"/>
      <c r="F9" s="89"/>
    </row>
    <row r="10" spans="1:6" ht="17.25" hidden="1" customHeight="1" x14ac:dyDescent="0.25">
      <c r="A10" s="293" t="s">
        <v>255</v>
      </c>
      <c r="B10" s="293"/>
      <c r="C10" s="293"/>
      <c r="D10" s="293"/>
      <c r="E10" s="293"/>
      <c r="F10" s="293"/>
    </row>
    <row r="11" spans="1:6" ht="18" hidden="1" customHeight="1" x14ac:dyDescent="0.3">
      <c r="A11" s="290" t="s">
        <v>257</v>
      </c>
      <c r="B11" s="290"/>
      <c r="C11" s="290"/>
      <c r="D11" s="89"/>
      <c r="E11" s="166"/>
      <c r="F11" s="89"/>
    </row>
    <row r="12" spans="1:6" ht="18.75" hidden="1" customHeight="1" x14ac:dyDescent="0.25">
      <c r="A12" s="293" t="s">
        <v>256</v>
      </c>
      <c r="B12" s="293"/>
      <c r="C12" s="293"/>
      <c r="D12" s="293"/>
      <c r="E12" s="293"/>
      <c r="F12" s="293"/>
    </row>
    <row r="13" spans="1:6" ht="20.25" hidden="1" customHeight="1" x14ac:dyDescent="0.3">
      <c r="A13" s="295" t="s">
        <v>258</v>
      </c>
      <c r="B13" s="295"/>
      <c r="C13" s="295"/>
      <c r="D13" s="89"/>
      <c r="E13" s="166"/>
      <c r="F13" s="89"/>
    </row>
    <row r="14" spans="1:6" ht="18.75" customHeight="1" x14ac:dyDescent="0.3">
      <c r="A14" s="184"/>
      <c r="B14" s="184"/>
      <c r="C14" s="184"/>
      <c r="D14" s="91"/>
      <c r="E14" s="89"/>
      <c r="F14" s="89"/>
    </row>
    <row r="15" spans="1:6" ht="18.75" customHeight="1" x14ac:dyDescent="0.25">
      <c r="A15" s="296" t="s">
        <v>295</v>
      </c>
      <c r="B15" s="296"/>
      <c r="C15" s="296"/>
      <c r="D15" s="296"/>
      <c r="E15" s="296"/>
      <c r="F15" s="296"/>
    </row>
    <row r="16" spans="1:6" ht="57.75" customHeight="1" x14ac:dyDescent="0.25">
      <c r="A16" s="97" t="s">
        <v>15</v>
      </c>
      <c r="B16" s="98" t="s">
        <v>249</v>
      </c>
      <c r="C16" s="99" t="s">
        <v>387</v>
      </c>
      <c r="D16" s="98" t="s">
        <v>16</v>
      </c>
      <c r="E16" s="98" t="s">
        <v>17</v>
      </c>
      <c r="F16" s="100" t="s">
        <v>18</v>
      </c>
    </row>
    <row r="17" spans="1:6" ht="81.75" customHeight="1" x14ac:dyDescent="0.25">
      <c r="A17" s="148" t="s">
        <v>441</v>
      </c>
      <c r="B17" s="98">
        <v>321835.3</v>
      </c>
      <c r="C17" s="98">
        <v>304999.09999999998</v>
      </c>
      <c r="D17" s="98">
        <f>348322-10.2</f>
        <v>348311.8</v>
      </c>
      <c r="E17" s="174">
        <f t="shared" ref="E17:E74" si="0">D17-B17</f>
        <v>26476.5</v>
      </c>
      <c r="F17" s="147" t="s">
        <v>631</v>
      </c>
    </row>
    <row r="18" spans="1:6" ht="167.45" customHeight="1" x14ac:dyDescent="0.25">
      <c r="A18" s="148" t="s">
        <v>399</v>
      </c>
      <c r="B18" s="98">
        <v>1427</v>
      </c>
      <c r="C18" s="98">
        <v>1534.4</v>
      </c>
      <c r="D18" s="98">
        <v>1564</v>
      </c>
      <c r="E18" s="174">
        <f t="shared" si="0"/>
        <v>137</v>
      </c>
      <c r="F18" s="147" t="s">
        <v>632</v>
      </c>
    </row>
    <row r="19" spans="1:6" ht="78.75" x14ac:dyDescent="0.25">
      <c r="A19" s="148" t="s">
        <v>400</v>
      </c>
      <c r="B19" s="98">
        <v>1285</v>
      </c>
      <c r="C19" s="98">
        <v>2855.5</v>
      </c>
      <c r="D19" s="98">
        <v>2981</v>
      </c>
      <c r="E19" s="174">
        <f t="shared" si="0"/>
        <v>1696</v>
      </c>
      <c r="F19" s="147" t="s">
        <v>633</v>
      </c>
    </row>
    <row r="20" spans="1:6" ht="131.25" customHeight="1" x14ac:dyDescent="0.25">
      <c r="A20" s="148" t="s">
        <v>401</v>
      </c>
      <c r="B20" s="98">
        <v>0</v>
      </c>
      <c r="C20" s="98">
        <v>622.4</v>
      </c>
      <c r="D20" s="98">
        <v>709</v>
      </c>
      <c r="E20" s="174">
        <f t="shared" si="0"/>
        <v>709</v>
      </c>
      <c r="F20" s="147" t="s">
        <v>572</v>
      </c>
    </row>
    <row r="21" spans="1:6" ht="114" customHeight="1" x14ac:dyDescent="0.25">
      <c r="A21" s="148" t="s">
        <v>402</v>
      </c>
      <c r="B21" s="98">
        <v>5867</v>
      </c>
      <c r="C21" s="98">
        <v>6025.3</v>
      </c>
      <c r="D21" s="98">
        <v>6638</v>
      </c>
      <c r="E21" s="174">
        <f t="shared" si="0"/>
        <v>771</v>
      </c>
      <c r="F21" s="147" t="s">
        <v>573</v>
      </c>
    </row>
    <row r="22" spans="1:6" ht="126" hidden="1" x14ac:dyDescent="0.25">
      <c r="A22" s="148" t="s">
        <v>403</v>
      </c>
      <c r="B22" s="98">
        <v>9792</v>
      </c>
      <c r="C22" s="98">
        <v>8815.5</v>
      </c>
      <c r="D22" s="98">
        <v>9792</v>
      </c>
      <c r="E22" s="174">
        <f t="shared" si="0"/>
        <v>0</v>
      </c>
      <c r="F22" s="147" t="s">
        <v>404</v>
      </c>
    </row>
    <row r="23" spans="1:6" ht="141.75" x14ac:dyDescent="0.25">
      <c r="A23" s="148" t="s">
        <v>574</v>
      </c>
      <c r="B23" s="98">
        <v>62</v>
      </c>
      <c r="C23" s="98">
        <v>57.2</v>
      </c>
      <c r="D23" s="98">
        <v>64</v>
      </c>
      <c r="E23" s="174">
        <f t="shared" si="0"/>
        <v>2</v>
      </c>
      <c r="F23" s="147" t="s">
        <v>575</v>
      </c>
    </row>
    <row r="24" spans="1:6" ht="126" x14ac:dyDescent="0.25">
      <c r="A24" s="148" t="s">
        <v>403</v>
      </c>
      <c r="B24" s="98">
        <v>9792</v>
      </c>
      <c r="C24" s="98">
        <v>8976</v>
      </c>
      <c r="D24" s="98">
        <v>9683</v>
      </c>
      <c r="E24" s="174">
        <f t="shared" si="0"/>
        <v>-109</v>
      </c>
      <c r="F24" s="147" t="s">
        <v>576</v>
      </c>
    </row>
    <row r="25" spans="1:6" ht="126" x14ac:dyDescent="0.25">
      <c r="A25" s="148" t="s">
        <v>405</v>
      </c>
      <c r="B25" s="98">
        <v>0</v>
      </c>
      <c r="C25" s="98">
        <v>-1344.2</v>
      </c>
      <c r="D25" s="98">
        <v>-1487</v>
      </c>
      <c r="E25" s="174">
        <f t="shared" si="0"/>
        <v>-1487</v>
      </c>
      <c r="F25" s="147" t="s">
        <v>577</v>
      </c>
    </row>
    <row r="26" spans="1:6" ht="47.25" x14ac:dyDescent="0.25">
      <c r="A26" s="148" t="s">
        <v>406</v>
      </c>
      <c r="B26" s="98">
        <v>15602</v>
      </c>
      <c r="C26" s="98">
        <v>14804.39</v>
      </c>
      <c r="D26" s="98">
        <v>15830</v>
      </c>
      <c r="E26" s="174">
        <f t="shared" si="0"/>
        <v>228</v>
      </c>
      <c r="F26" s="147" t="s">
        <v>578</v>
      </c>
    </row>
    <row r="27" spans="1:6" ht="63" x14ac:dyDescent="0.25">
      <c r="A27" s="148" t="s">
        <v>407</v>
      </c>
      <c r="B27" s="98">
        <v>4516</v>
      </c>
      <c r="C27" s="98">
        <v>4498.71</v>
      </c>
      <c r="D27" s="98">
        <v>4675</v>
      </c>
      <c r="E27" s="174">
        <f t="shared" si="0"/>
        <v>159</v>
      </c>
      <c r="F27" s="147" t="s">
        <v>579</v>
      </c>
    </row>
    <row r="28" spans="1:6" ht="31.5" x14ac:dyDescent="0.25">
      <c r="A28" s="148" t="s">
        <v>251</v>
      </c>
      <c r="B28" s="98">
        <v>40037</v>
      </c>
      <c r="C28" s="99">
        <v>32145.9</v>
      </c>
      <c r="D28" s="98">
        <v>33086</v>
      </c>
      <c r="E28" s="174">
        <f t="shared" si="0"/>
        <v>-6951</v>
      </c>
      <c r="F28" s="147" t="s">
        <v>580</v>
      </c>
    </row>
    <row r="29" spans="1:6" ht="63" x14ac:dyDescent="0.25">
      <c r="A29" s="148" t="s">
        <v>581</v>
      </c>
      <c r="B29" s="98">
        <v>0</v>
      </c>
      <c r="C29" s="99">
        <v>-76.7</v>
      </c>
      <c r="D29" s="98">
        <v>-70</v>
      </c>
      <c r="E29" s="174">
        <f t="shared" si="0"/>
        <v>-70</v>
      </c>
      <c r="F29" s="147" t="s">
        <v>582</v>
      </c>
    </row>
    <row r="30" spans="1:6" ht="31.5" x14ac:dyDescent="0.25">
      <c r="A30" s="148" t="s">
        <v>76</v>
      </c>
      <c r="B30" s="98">
        <v>765</v>
      </c>
      <c r="C30" s="99">
        <v>762.5</v>
      </c>
      <c r="D30" s="98">
        <v>763</v>
      </c>
      <c r="E30" s="174">
        <f t="shared" si="0"/>
        <v>-2</v>
      </c>
      <c r="F30" s="147" t="s">
        <v>583</v>
      </c>
    </row>
    <row r="31" spans="1:6" ht="47.25" customHeight="1" x14ac:dyDescent="0.25">
      <c r="A31" s="148" t="s">
        <v>408</v>
      </c>
      <c r="B31" s="98">
        <v>399</v>
      </c>
      <c r="C31" s="99">
        <v>477.7</v>
      </c>
      <c r="D31" s="98">
        <v>747</v>
      </c>
      <c r="E31" s="174">
        <f t="shared" si="0"/>
        <v>348</v>
      </c>
      <c r="F31" s="147" t="s">
        <v>584</v>
      </c>
    </row>
    <row r="32" spans="1:6" ht="67.5" customHeight="1" x14ac:dyDescent="0.25">
      <c r="A32" s="148" t="s">
        <v>585</v>
      </c>
      <c r="B32" s="98">
        <v>6762</v>
      </c>
      <c r="C32" s="99">
        <v>5071.6000000000004</v>
      </c>
      <c r="D32" s="98">
        <v>7330</v>
      </c>
      <c r="E32" s="174">
        <f t="shared" si="0"/>
        <v>568</v>
      </c>
      <c r="F32" s="147" t="s">
        <v>586</v>
      </c>
    </row>
    <row r="33" spans="1:6" ht="31.5" x14ac:dyDescent="0.25">
      <c r="A33" s="148" t="s">
        <v>409</v>
      </c>
      <c r="B33" s="98">
        <v>315</v>
      </c>
      <c r="C33" s="99">
        <v>369.4</v>
      </c>
      <c r="D33" s="98">
        <v>374</v>
      </c>
      <c r="E33" s="174">
        <f t="shared" si="0"/>
        <v>59</v>
      </c>
      <c r="F33" s="147" t="s">
        <v>588</v>
      </c>
    </row>
    <row r="34" spans="1:6" ht="31.5" x14ac:dyDescent="0.25">
      <c r="A34" s="148" t="s">
        <v>587</v>
      </c>
      <c r="B34" s="98">
        <v>1707</v>
      </c>
      <c r="C34" s="99">
        <v>1347.9</v>
      </c>
      <c r="D34" s="98">
        <v>1739</v>
      </c>
      <c r="E34" s="174">
        <f t="shared" si="0"/>
        <v>32</v>
      </c>
      <c r="F34" s="147" t="s">
        <v>589</v>
      </c>
    </row>
    <row r="35" spans="1:6" ht="63" x14ac:dyDescent="0.25">
      <c r="A35" s="148" t="s">
        <v>388</v>
      </c>
      <c r="B35" s="98">
        <v>37848</v>
      </c>
      <c r="C35" s="99">
        <v>25463.7</v>
      </c>
      <c r="D35" s="98">
        <v>25738</v>
      </c>
      <c r="E35" s="174">
        <f t="shared" si="0"/>
        <v>-12110</v>
      </c>
      <c r="F35" s="147" t="s">
        <v>590</v>
      </c>
    </row>
    <row r="36" spans="1:6" ht="63" x14ac:dyDescent="0.25">
      <c r="A36" s="148" t="s">
        <v>591</v>
      </c>
      <c r="B36" s="98">
        <v>11476</v>
      </c>
      <c r="C36" s="99">
        <v>8957.2000000000007</v>
      </c>
      <c r="D36" s="98">
        <v>12309</v>
      </c>
      <c r="E36" s="174">
        <f t="shared" si="0"/>
        <v>833</v>
      </c>
      <c r="F36" s="147" t="s">
        <v>592</v>
      </c>
    </row>
    <row r="37" spans="1:6" ht="63" x14ac:dyDescent="0.25">
      <c r="A37" s="148" t="s">
        <v>410</v>
      </c>
      <c r="B37" s="98">
        <v>8470</v>
      </c>
      <c r="C37" s="99">
        <v>8529.7000000000007</v>
      </c>
      <c r="D37" s="98">
        <v>9328</v>
      </c>
      <c r="E37" s="174">
        <f t="shared" si="0"/>
        <v>858</v>
      </c>
      <c r="F37" s="147" t="s">
        <v>593</v>
      </c>
    </row>
    <row r="38" spans="1:6" ht="157.5" x14ac:dyDescent="0.25">
      <c r="A38" s="148" t="s">
        <v>411</v>
      </c>
      <c r="B38" s="98">
        <v>2</v>
      </c>
      <c r="C38" s="98">
        <v>3</v>
      </c>
      <c r="D38" s="98">
        <v>3</v>
      </c>
      <c r="E38" s="174">
        <f t="shared" si="0"/>
        <v>1</v>
      </c>
      <c r="F38" s="147" t="s">
        <v>594</v>
      </c>
    </row>
    <row r="39" spans="1:6" ht="63" x14ac:dyDescent="0.25">
      <c r="A39" s="148" t="s">
        <v>412</v>
      </c>
      <c r="B39" s="98">
        <v>5333</v>
      </c>
      <c r="C39" s="99">
        <v>6038.1</v>
      </c>
      <c r="D39" s="98">
        <v>6597</v>
      </c>
      <c r="E39" s="174">
        <f t="shared" si="0"/>
        <v>1264</v>
      </c>
      <c r="F39" s="147" t="s">
        <v>595</v>
      </c>
    </row>
    <row r="40" spans="1:6" ht="47.25" x14ac:dyDescent="0.25">
      <c r="A40" s="148" t="s">
        <v>47</v>
      </c>
      <c r="B40" s="98">
        <v>266</v>
      </c>
      <c r="C40" s="99">
        <v>373.1</v>
      </c>
      <c r="D40" s="98">
        <v>412</v>
      </c>
      <c r="E40" s="174">
        <f t="shared" si="0"/>
        <v>146</v>
      </c>
      <c r="F40" s="147" t="s">
        <v>596</v>
      </c>
    </row>
    <row r="41" spans="1:6" ht="157.5" x14ac:dyDescent="0.25">
      <c r="A41" s="148" t="s">
        <v>413</v>
      </c>
      <c r="B41" s="98">
        <v>354</v>
      </c>
      <c r="C41" s="98">
        <v>464</v>
      </c>
      <c r="D41" s="98">
        <v>523</v>
      </c>
      <c r="E41" s="174">
        <f t="shared" si="0"/>
        <v>169</v>
      </c>
      <c r="F41" s="147" t="s">
        <v>597</v>
      </c>
    </row>
    <row r="42" spans="1:6" ht="141.75" x14ac:dyDescent="0.25">
      <c r="A42" s="148" t="s">
        <v>414</v>
      </c>
      <c r="B42" s="98">
        <v>217</v>
      </c>
      <c r="C42" s="99">
        <v>183.3</v>
      </c>
      <c r="D42" s="98">
        <v>187</v>
      </c>
      <c r="E42" s="174">
        <f t="shared" si="0"/>
        <v>-30</v>
      </c>
      <c r="F42" s="147" t="s">
        <v>598</v>
      </c>
    </row>
    <row r="43" spans="1:6" ht="47.25" x14ac:dyDescent="0.25">
      <c r="A43" s="148" t="s">
        <v>415</v>
      </c>
      <c r="B43" s="98">
        <v>50</v>
      </c>
      <c r="C43" s="99">
        <v>40</v>
      </c>
      <c r="D43" s="98">
        <v>45</v>
      </c>
      <c r="E43" s="174">
        <f t="shared" si="0"/>
        <v>-5</v>
      </c>
      <c r="F43" s="147" t="s">
        <v>599</v>
      </c>
    </row>
    <row r="44" spans="1:6" ht="126" x14ac:dyDescent="0.25">
      <c r="A44" s="148" t="s">
        <v>389</v>
      </c>
      <c r="B44" s="98">
        <v>42138</v>
      </c>
      <c r="C44" s="99">
        <v>27828.1</v>
      </c>
      <c r="D44" s="98">
        <v>32784</v>
      </c>
      <c r="E44" s="174">
        <f t="shared" si="0"/>
        <v>-9354</v>
      </c>
      <c r="F44" s="147" t="s">
        <v>600</v>
      </c>
    </row>
    <row r="45" spans="1:6" ht="126" x14ac:dyDescent="0.25">
      <c r="A45" s="148" t="s">
        <v>416</v>
      </c>
      <c r="B45" s="98">
        <v>78</v>
      </c>
      <c r="C45" s="98">
        <v>84</v>
      </c>
      <c r="D45" s="98">
        <v>84</v>
      </c>
      <c r="E45" s="174">
        <f t="shared" si="0"/>
        <v>6</v>
      </c>
      <c r="F45" s="147" t="s">
        <v>435</v>
      </c>
    </row>
    <row r="46" spans="1:6" ht="94.5" x14ac:dyDescent="0.25">
      <c r="A46" s="148" t="s">
        <v>417</v>
      </c>
      <c r="B46" s="98">
        <v>484</v>
      </c>
      <c r="C46" s="98">
        <v>421</v>
      </c>
      <c r="D46" s="98">
        <v>464</v>
      </c>
      <c r="E46" s="174">
        <f t="shared" si="0"/>
        <v>-20</v>
      </c>
      <c r="F46" s="147" t="s">
        <v>601</v>
      </c>
    </row>
    <row r="47" spans="1:6" ht="47.25" x14ac:dyDescent="0.25">
      <c r="A47" s="148" t="s">
        <v>418</v>
      </c>
      <c r="B47" s="98">
        <v>17562</v>
      </c>
      <c r="C47" s="99">
        <v>15578.5</v>
      </c>
      <c r="D47" s="98">
        <v>16980</v>
      </c>
      <c r="E47" s="174">
        <f t="shared" si="0"/>
        <v>-582</v>
      </c>
      <c r="F47" s="147" t="s">
        <v>602</v>
      </c>
    </row>
    <row r="48" spans="1:6" ht="78.75" x14ac:dyDescent="0.25">
      <c r="A48" s="148" t="s">
        <v>419</v>
      </c>
      <c r="B48" s="98">
        <v>186</v>
      </c>
      <c r="C48" s="99">
        <v>124.4</v>
      </c>
      <c r="D48" s="98">
        <v>125</v>
      </c>
      <c r="E48" s="174">
        <f t="shared" si="0"/>
        <v>-61</v>
      </c>
      <c r="F48" s="147" t="s">
        <v>603</v>
      </c>
    </row>
    <row r="49" spans="1:6" ht="157.5" x14ac:dyDescent="0.25">
      <c r="A49" s="148" t="s">
        <v>420</v>
      </c>
      <c r="B49" s="98">
        <v>3387</v>
      </c>
      <c r="C49" s="99">
        <v>3216.1</v>
      </c>
      <c r="D49" s="98">
        <v>3553</v>
      </c>
      <c r="E49" s="174">
        <f t="shared" si="0"/>
        <v>166</v>
      </c>
      <c r="F49" s="147" t="s">
        <v>604</v>
      </c>
    </row>
    <row r="50" spans="1:6" ht="47.25" x14ac:dyDescent="0.25">
      <c r="A50" s="148" t="s">
        <v>19</v>
      </c>
      <c r="B50" s="98">
        <v>688</v>
      </c>
      <c r="C50" s="99">
        <v>830.4</v>
      </c>
      <c r="D50" s="98">
        <v>831</v>
      </c>
      <c r="E50" s="174">
        <f t="shared" si="0"/>
        <v>143</v>
      </c>
      <c r="F50" s="147" t="s">
        <v>605</v>
      </c>
    </row>
    <row r="51" spans="1:6" ht="31.5" x14ac:dyDescent="0.25">
      <c r="A51" s="148" t="s">
        <v>421</v>
      </c>
      <c r="B51" s="98">
        <v>194</v>
      </c>
      <c r="C51" s="99">
        <v>115.5</v>
      </c>
      <c r="D51" s="98">
        <v>115</v>
      </c>
      <c r="E51" s="174">
        <f t="shared" si="0"/>
        <v>-79</v>
      </c>
      <c r="F51" s="147" t="s">
        <v>606</v>
      </c>
    </row>
    <row r="52" spans="1:6" ht="31.5" x14ac:dyDescent="0.25">
      <c r="A52" s="148" t="s">
        <v>422</v>
      </c>
      <c r="B52" s="98">
        <v>1599</v>
      </c>
      <c r="C52" s="99">
        <v>1943.5</v>
      </c>
      <c r="D52" s="98">
        <v>1934</v>
      </c>
      <c r="E52" s="174">
        <f t="shared" si="0"/>
        <v>335</v>
      </c>
      <c r="F52" s="147" t="s">
        <v>607</v>
      </c>
    </row>
    <row r="53" spans="1:6" ht="31.5" x14ac:dyDescent="0.25">
      <c r="A53" s="148" t="s">
        <v>423</v>
      </c>
      <c r="B53" s="98">
        <v>155</v>
      </c>
      <c r="C53" s="99">
        <v>153.80000000000001</v>
      </c>
      <c r="D53" s="98">
        <v>181</v>
      </c>
      <c r="E53" s="174">
        <f t="shared" si="0"/>
        <v>26</v>
      </c>
      <c r="F53" s="147" t="s">
        <v>608</v>
      </c>
    </row>
    <row r="54" spans="1:6" ht="46.5" customHeight="1" x14ac:dyDescent="0.25">
      <c r="A54" s="148" t="s">
        <v>424</v>
      </c>
      <c r="B54" s="98">
        <v>1374.3999999999999</v>
      </c>
      <c r="C54" s="99">
        <v>790.2</v>
      </c>
      <c r="D54" s="98">
        <v>916.4</v>
      </c>
      <c r="E54" s="174">
        <f t="shared" si="0"/>
        <v>-457.99999999999989</v>
      </c>
      <c r="F54" s="147" t="s">
        <v>609</v>
      </c>
    </row>
    <row r="55" spans="1:6" ht="61.5" customHeight="1" x14ac:dyDescent="0.25">
      <c r="A55" s="148" t="s">
        <v>425</v>
      </c>
      <c r="B55" s="98">
        <v>1635</v>
      </c>
      <c r="C55" s="99">
        <v>1409.8</v>
      </c>
      <c r="D55" s="98">
        <v>1712</v>
      </c>
      <c r="E55" s="174">
        <f t="shared" si="0"/>
        <v>77</v>
      </c>
      <c r="F55" s="147" t="s">
        <v>610</v>
      </c>
    </row>
    <row r="56" spans="1:6" ht="31.5" x14ac:dyDescent="0.25">
      <c r="A56" s="148" t="s">
        <v>426</v>
      </c>
      <c r="B56" s="98">
        <v>4778.7</v>
      </c>
      <c r="C56" s="99">
        <v>20536.2</v>
      </c>
      <c r="D56" s="98">
        <f>6145.6+10.2</f>
        <v>6155.8</v>
      </c>
      <c r="E56" s="174">
        <f>D56-B56</f>
        <v>1377.1000000000004</v>
      </c>
      <c r="F56" s="147" t="s">
        <v>630</v>
      </c>
    </row>
    <row r="57" spans="1:6" ht="31.5" x14ac:dyDescent="0.25">
      <c r="A57" s="148" t="s">
        <v>427</v>
      </c>
      <c r="B57" s="98">
        <v>430</v>
      </c>
      <c r="C57" s="99">
        <v>336.8</v>
      </c>
      <c r="D57" s="98">
        <v>377</v>
      </c>
      <c r="E57" s="174">
        <f t="shared" si="0"/>
        <v>-53</v>
      </c>
      <c r="F57" s="147" t="s">
        <v>611</v>
      </c>
    </row>
    <row r="58" spans="1:6" ht="126" x14ac:dyDescent="0.25">
      <c r="A58" s="148" t="s">
        <v>428</v>
      </c>
      <c r="B58" s="98">
        <v>0</v>
      </c>
      <c r="C58" s="99">
        <v>6.1</v>
      </c>
      <c r="D58" s="98">
        <v>6</v>
      </c>
      <c r="E58" s="174">
        <f t="shared" si="0"/>
        <v>6</v>
      </c>
      <c r="F58" s="147" t="s">
        <v>612</v>
      </c>
    </row>
    <row r="59" spans="1:6" ht="126" x14ac:dyDescent="0.25">
      <c r="A59" s="148" t="s">
        <v>429</v>
      </c>
      <c r="B59" s="98">
        <v>5000</v>
      </c>
      <c r="C59" s="99">
        <v>2533.8000000000002</v>
      </c>
      <c r="D59" s="98">
        <v>3534</v>
      </c>
      <c r="E59" s="174">
        <f t="shared" si="0"/>
        <v>-1466</v>
      </c>
      <c r="F59" s="147" t="s">
        <v>613</v>
      </c>
    </row>
    <row r="60" spans="1:6" ht="78.75" x14ac:dyDescent="0.25">
      <c r="A60" s="148" t="s">
        <v>78</v>
      </c>
      <c r="B60" s="98">
        <v>5867</v>
      </c>
      <c r="C60" s="99">
        <v>1666.2</v>
      </c>
      <c r="D60" s="98">
        <v>1963</v>
      </c>
      <c r="E60" s="174">
        <f t="shared" si="0"/>
        <v>-3904</v>
      </c>
      <c r="F60" s="147" t="s">
        <v>614</v>
      </c>
    </row>
    <row r="61" spans="1:6" ht="126" x14ac:dyDescent="0.25">
      <c r="A61" s="148" t="s">
        <v>615</v>
      </c>
      <c r="B61" s="98">
        <v>0</v>
      </c>
      <c r="C61" s="99">
        <v>80.5</v>
      </c>
      <c r="D61" s="98">
        <v>81</v>
      </c>
      <c r="E61" s="174">
        <f t="shared" si="0"/>
        <v>81</v>
      </c>
      <c r="F61" s="147" t="s">
        <v>616</v>
      </c>
    </row>
    <row r="62" spans="1:6" ht="156" x14ac:dyDescent="0.25">
      <c r="A62" s="149" t="s">
        <v>430</v>
      </c>
      <c r="B62" s="98">
        <v>410</v>
      </c>
      <c r="C62" s="99">
        <v>178.3</v>
      </c>
      <c r="D62" s="98">
        <v>211</v>
      </c>
      <c r="E62" s="174">
        <f t="shared" si="0"/>
        <v>-199</v>
      </c>
      <c r="F62" s="147" t="s">
        <v>617</v>
      </c>
    </row>
    <row r="63" spans="1:6" ht="78.75" x14ac:dyDescent="0.25">
      <c r="A63" s="148" t="s">
        <v>215</v>
      </c>
      <c r="B63" s="98">
        <v>20</v>
      </c>
      <c r="C63" s="99">
        <v>16.899999999999999</v>
      </c>
      <c r="D63" s="98">
        <v>21</v>
      </c>
      <c r="E63" s="174">
        <f t="shared" si="0"/>
        <v>1</v>
      </c>
      <c r="F63" s="147" t="s">
        <v>618</v>
      </c>
    </row>
    <row r="64" spans="1:6" ht="94.5" x14ac:dyDescent="0.25">
      <c r="A64" s="148" t="s">
        <v>49</v>
      </c>
      <c r="B64" s="98">
        <v>377</v>
      </c>
      <c r="C64" s="99">
        <v>259.5</v>
      </c>
      <c r="D64" s="98">
        <v>299</v>
      </c>
      <c r="E64" s="174">
        <f t="shared" si="0"/>
        <v>-78</v>
      </c>
      <c r="F64" s="147" t="s">
        <v>619</v>
      </c>
    </row>
    <row r="65" spans="1:6" ht="78.75" x14ac:dyDescent="0.25">
      <c r="A65" s="148" t="s">
        <v>219</v>
      </c>
      <c r="B65" s="98">
        <v>7</v>
      </c>
      <c r="C65" s="98">
        <v>10</v>
      </c>
      <c r="D65" s="98">
        <v>10</v>
      </c>
      <c r="E65" s="174">
        <f t="shared" si="0"/>
        <v>3</v>
      </c>
      <c r="F65" s="147" t="s">
        <v>431</v>
      </c>
    </row>
    <row r="66" spans="1:6" ht="47.25" x14ac:dyDescent="0.25">
      <c r="A66" s="148" t="s">
        <v>432</v>
      </c>
      <c r="B66" s="98">
        <v>236</v>
      </c>
      <c r="C66" s="99">
        <v>201.8</v>
      </c>
      <c r="D66" s="98">
        <v>202</v>
      </c>
      <c r="E66" s="174">
        <f t="shared" si="0"/>
        <v>-34</v>
      </c>
      <c r="F66" s="147" t="s">
        <v>433</v>
      </c>
    </row>
    <row r="67" spans="1:6" ht="31.5" x14ac:dyDescent="0.25">
      <c r="A67" s="148" t="s">
        <v>434</v>
      </c>
      <c r="B67" s="98">
        <v>85</v>
      </c>
      <c r="C67" s="99">
        <v>80.3</v>
      </c>
      <c r="D67" s="98">
        <v>83</v>
      </c>
      <c r="E67" s="174">
        <f t="shared" si="0"/>
        <v>-2</v>
      </c>
      <c r="F67" s="147" t="s">
        <v>620</v>
      </c>
    </row>
    <row r="68" spans="1:6" ht="94.5" x14ac:dyDescent="0.25">
      <c r="A68" s="148" t="s">
        <v>436</v>
      </c>
      <c r="B68" s="98">
        <v>1641</v>
      </c>
      <c r="C68" s="99">
        <v>1200.8</v>
      </c>
      <c r="D68" s="98">
        <v>1335</v>
      </c>
      <c r="E68" s="174">
        <f t="shared" si="0"/>
        <v>-306</v>
      </c>
      <c r="F68" s="147" t="s">
        <v>621</v>
      </c>
    </row>
    <row r="69" spans="1:6" ht="94.5" x14ac:dyDescent="0.25">
      <c r="A69" s="148" t="s">
        <v>437</v>
      </c>
      <c r="B69" s="98">
        <v>0</v>
      </c>
      <c r="C69" s="98">
        <v>20</v>
      </c>
      <c r="D69" s="98">
        <v>20</v>
      </c>
      <c r="E69" s="174">
        <f t="shared" si="0"/>
        <v>20</v>
      </c>
      <c r="F69" s="147" t="s">
        <v>622</v>
      </c>
    </row>
    <row r="70" spans="1:6" ht="47.25" x14ac:dyDescent="0.25">
      <c r="A70" s="148" t="s">
        <v>438</v>
      </c>
      <c r="B70" s="98">
        <v>189</v>
      </c>
      <c r="C70" s="99">
        <v>30.8</v>
      </c>
      <c r="D70" s="98">
        <v>112</v>
      </c>
      <c r="E70" s="174">
        <f t="shared" si="0"/>
        <v>-77</v>
      </c>
      <c r="F70" s="147" t="s">
        <v>623</v>
      </c>
    </row>
    <row r="71" spans="1:6" ht="110.25" x14ac:dyDescent="0.25">
      <c r="A71" s="148" t="s">
        <v>439</v>
      </c>
      <c r="B71" s="98">
        <v>2108</v>
      </c>
      <c r="C71" s="99">
        <v>809.9</v>
      </c>
      <c r="D71" s="98">
        <v>813</v>
      </c>
      <c r="E71" s="175">
        <f t="shared" si="0"/>
        <v>-1295</v>
      </c>
      <c r="F71" s="147" t="s">
        <v>624</v>
      </c>
    </row>
    <row r="72" spans="1:6" ht="110.25" x14ac:dyDescent="0.25">
      <c r="A72" s="148" t="s">
        <v>24</v>
      </c>
      <c r="B72" s="98">
        <v>194</v>
      </c>
      <c r="C72" s="99">
        <v>159.30000000000001</v>
      </c>
      <c r="D72" s="98">
        <v>174</v>
      </c>
      <c r="E72" s="175">
        <f t="shared" si="0"/>
        <v>-20</v>
      </c>
      <c r="F72" s="147" t="s">
        <v>625</v>
      </c>
    </row>
    <row r="73" spans="1:6" ht="94.5" x14ac:dyDescent="0.25">
      <c r="A73" s="148" t="s">
        <v>440</v>
      </c>
      <c r="B73" s="98">
        <v>66</v>
      </c>
      <c r="C73" s="99">
        <v>50.1</v>
      </c>
      <c r="D73" s="98">
        <v>63</v>
      </c>
      <c r="E73" s="175">
        <f t="shared" si="0"/>
        <v>-3</v>
      </c>
      <c r="F73" s="147" t="s">
        <v>626</v>
      </c>
    </row>
    <row r="74" spans="1:6" ht="63" x14ac:dyDescent="0.25">
      <c r="A74" s="148" t="s">
        <v>33</v>
      </c>
      <c r="B74" s="98">
        <v>3839</v>
      </c>
      <c r="C74" s="99">
        <v>2175.6999999999998</v>
      </c>
      <c r="D74" s="98">
        <v>2379</v>
      </c>
      <c r="E74" s="175">
        <f t="shared" si="0"/>
        <v>-1460</v>
      </c>
      <c r="F74" s="147" t="s">
        <v>627</v>
      </c>
    </row>
    <row r="75" spans="1:6" ht="18.75" x14ac:dyDescent="0.25">
      <c r="A75" s="101" t="s">
        <v>252</v>
      </c>
      <c r="B75" s="98"/>
      <c r="C75" s="99"/>
      <c r="D75" s="98"/>
      <c r="E75" s="176">
        <f>SUM(E17:E74)</f>
        <v>-3517.3999999999996</v>
      </c>
      <c r="F75" s="100"/>
    </row>
    <row r="76" spans="1:6" ht="18.75" x14ac:dyDescent="0.25">
      <c r="A76" s="142"/>
      <c r="B76" s="143"/>
      <c r="C76" s="144"/>
      <c r="D76" s="143"/>
      <c r="E76" s="145"/>
      <c r="F76" s="146"/>
    </row>
    <row r="77" spans="1:6" ht="13.5" customHeight="1" x14ac:dyDescent="0.3">
      <c r="A77" s="93"/>
      <c r="B77" s="94"/>
      <c r="C77" s="94"/>
      <c r="D77" s="94"/>
      <c r="E77" s="94"/>
      <c r="F77" s="95"/>
    </row>
    <row r="78" spans="1:6" ht="67.5" customHeight="1" x14ac:dyDescent="0.25">
      <c r="A78" s="297" t="s">
        <v>565</v>
      </c>
      <c r="B78" s="297"/>
      <c r="C78" s="297"/>
      <c r="D78" s="297"/>
      <c r="E78" s="297"/>
      <c r="F78" s="297"/>
    </row>
    <row r="79" spans="1:6" ht="19.5" customHeight="1" x14ac:dyDescent="0.25">
      <c r="A79" s="297"/>
      <c r="B79" s="297"/>
      <c r="C79" s="297"/>
      <c r="D79" s="297"/>
      <c r="E79" s="297"/>
      <c r="F79" s="297"/>
    </row>
    <row r="80" spans="1:6" ht="38.25" hidden="1" customHeight="1" x14ac:dyDescent="0.25">
      <c r="A80" s="297"/>
      <c r="B80" s="297"/>
      <c r="C80" s="297"/>
      <c r="D80" s="297"/>
      <c r="E80" s="297"/>
      <c r="F80" s="297"/>
    </row>
    <row r="81" spans="1:6" ht="18.75" hidden="1" customHeight="1" x14ac:dyDescent="0.25">
      <c r="A81" s="294"/>
      <c r="B81" s="294"/>
      <c r="C81" s="294"/>
      <c r="D81" s="294"/>
      <c r="E81" s="294"/>
      <c r="F81" s="294"/>
    </row>
    <row r="82" spans="1:6" ht="22.5" customHeight="1" x14ac:dyDescent="0.3">
      <c r="A82" s="287" t="s">
        <v>628</v>
      </c>
      <c r="B82" s="287"/>
      <c r="C82" s="287"/>
      <c r="D82" s="287"/>
      <c r="F82" s="90"/>
    </row>
    <row r="83" spans="1:6" ht="18.75" hidden="1" x14ac:dyDescent="0.25">
      <c r="A83" s="288" t="s">
        <v>289</v>
      </c>
      <c r="B83" s="288"/>
      <c r="C83" s="288"/>
      <c r="D83" s="288"/>
      <c r="E83" s="288"/>
      <c r="F83" s="288"/>
    </row>
    <row r="84" spans="1:6" ht="18.75" hidden="1" x14ac:dyDescent="0.25">
      <c r="A84" s="288" t="s">
        <v>290</v>
      </c>
      <c r="B84" s="288"/>
      <c r="C84" s="288"/>
      <c r="D84" s="288"/>
      <c r="E84" s="288"/>
      <c r="F84" s="288"/>
    </row>
    <row r="85" spans="1:6" ht="18.75" x14ac:dyDescent="0.25">
      <c r="A85" s="183"/>
      <c r="B85" s="183"/>
      <c r="C85" s="183"/>
      <c r="D85" s="183"/>
      <c r="E85" s="183"/>
      <c r="F85" s="183"/>
    </row>
    <row r="86" spans="1:6" ht="17.25" customHeight="1" x14ac:dyDescent="0.3">
      <c r="A86" s="289" t="s">
        <v>246</v>
      </c>
      <c r="B86" s="289"/>
      <c r="C86" s="289"/>
      <c r="D86" s="289"/>
      <c r="E86" s="289"/>
      <c r="F86" s="289"/>
    </row>
    <row r="87" spans="1:6" ht="78.75" customHeight="1" x14ac:dyDescent="0.3">
      <c r="A87" s="268" t="s">
        <v>566</v>
      </c>
      <c r="B87" s="268"/>
      <c r="C87" s="268"/>
      <c r="D87" s="268"/>
      <c r="E87" s="268"/>
      <c r="F87" s="268"/>
    </row>
    <row r="88" spans="1:6" ht="21" customHeight="1" x14ac:dyDescent="0.3">
      <c r="A88" s="269" t="s">
        <v>31</v>
      </c>
      <c r="B88" s="269"/>
      <c r="C88" s="269"/>
      <c r="D88" s="269"/>
      <c r="E88" s="269"/>
      <c r="F88" s="269"/>
    </row>
    <row r="89" spans="1:6" ht="22.5" customHeight="1" x14ac:dyDescent="0.3">
      <c r="A89" s="268" t="s">
        <v>302</v>
      </c>
      <c r="B89" s="268"/>
      <c r="C89" s="268"/>
      <c r="D89" s="268"/>
      <c r="E89" s="268"/>
      <c r="F89" s="268"/>
    </row>
    <row r="90" spans="1:6" ht="147" customHeight="1" x14ac:dyDescent="0.3">
      <c r="A90" s="268" t="s">
        <v>514</v>
      </c>
      <c r="B90" s="268"/>
      <c r="C90" s="268"/>
      <c r="D90" s="268"/>
      <c r="E90" s="268"/>
      <c r="F90" s="268"/>
    </row>
    <row r="91" spans="1:6" ht="111.75" customHeight="1" x14ac:dyDescent="0.3">
      <c r="A91" s="268" t="s">
        <v>477</v>
      </c>
      <c r="B91" s="268"/>
      <c r="C91" s="268"/>
      <c r="D91" s="268"/>
      <c r="E91" s="268"/>
      <c r="F91" s="268"/>
    </row>
    <row r="92" spans="1:6" ht="77.25" customHeight="1" x14ac:dyDescent="0.3">
      <c r="A92" s="268" t="s">
        <v>497</v>
      </c>
      <c r="B92" s="268"/>
      <c r="C92" s="268"/>
      <c r="D92" s="268"/>
      <c r="E92" s="268"/>
      <c r="F92" s="268"/>
    </row>
    <row r="93" spans="1:6" ht="57" customHeight="1" x14ac:dyDescent="0.3">
      <c r="A93" s="268" t="s">
        <v>479</v>
      </c>
      <c r="B93" s="268"/>
      <c r="C93" s="268"/>
      <c r="D93" s="268"/>
      <c r="E93" s="268"/>
      <c r="F93" s="268"/>
    </row>
    <row r="94" spans="1:6" ht="25.5" customHeight="1" x14ac:dyDescent="0.3">
      <c r="A94" s="269" t="s">
        <v>85</v>
      </c>
      <c r="B94" s="269"/>
      <c r="C94" s="269"/>
      <c r="D94" s="269"/>
      <c r="E94" s="269"/>
      <c r="F94" s="269"/>
    </row>
    <row r="95" spans="1:6" ht="22.5" customHeight="1" x14ac:dyDescent="0.3">
      <c r="A95" s="268" t="s">
        <v>302</v>
      </c>
      <c r="B95" s="268"/>
      <c r="C95" s="268"/>
      <c r="D95" s="268"/>
      <c r="E95" s="268"/>
      <c r="F95" s="268"/>
    </row>
    <row r="96" spans="1:6" ht="94.5" customHeight="1" x14ac:dyDescent="0.3">
      <c r="A96" s="268" t="s">
        <v>515</v>
      </c>
      <c r="B96" s="268"/>
      <c r="C96" s="268"/>
      <c r="D96" s="268"/>
      <c r="E96" s="268"/>
      <c r="F96" s="268"/>
    </row>
    <row r="97" spans="1:6" ht="224.25" customHeight="1" x14ac:dyDescent="0.3">
      <c r="A97" s="268" t="s">
        <v>448</v>
      </c>
      <c r="B97" s="268"/>
      <c r="C97" s="268"/>
      <c r="D97" s="268"/>
      <c r="E97" s="268"/>
      <c r="F97" s="268"/>
    </row>
    <row r="98" spans="1:6" ht="214.5" customHeight="1" x14ac:dyDescent="0.3">
      <c r="A98" s="268" t="s">
        <v>455</v>
      </c>
      <c r="B98" s="268"/>
      <c r="C98" s="268"/>
      <c r="D98" s="268"/>
      <c r="E98" s="268"/>
      <c r="F98" s="268"/>
    </row>
    <row r="99" spans="1:6" ht="166.5" customHeight="1" x14ac:dyDescent="0.3">
      <c r="A99" s="268" t="s">
        <v>460</v>
      </c>
      <c r="B99" s="268"/>
      <c r="C99" s="268"/>
      <c r="D99" s="268"/>
      <c r="E99" s="268"/>
      <c r="F99" s="268"/>
    </row>
    <row r="100" spans="1:6" ht="225.75" customHeight="1" x14ac:dyDescent="0.3">
      <c r="A100" s="268" t="s">
        <v>468</v>
      </c>
      <c r="B100" s="268"/>
      <c r="C100" s="268"/>
      <c r="D100" s="268"/>
      <c r="E100" s="268"/>
      <c r="F100" s="268"/>
    </row>
    <row r="101" spans="1:6" ht="174.75" customHeight="1" x14ac:dyDescent="0.3">
      <c r="A101" s="268" t="s">
        <v>474</v>
      </c>
      <c r="B101" s="268"/>
      <c r="C101" s="268"/>
      <c r="D101" s="268"/>
      <c r="E101" s="268"/>
      <c r="F101" s="268"/>
    </row>
    <row r="102" spans="1:6" ht="168.75" customHeight="1" x14ac:dyDescent="0.3">
      <c r="A102" s="268" t="s">
        <v>476</v>
      </c>
      <c r="B102" s="268"/>
      <c r="C102" s="268"/>
      <c r="D102" s="268"/>
      <c r="E102" s="268"/>
      <c r="F102" s="268"/>
    </row>
    <row r="103" spans="1:6" ht="210" customHeight="1" x14ac:dyDescent="0.3">
      <c r="A103" s="268" t="s">
        <v>550</v>
      </c>
      <c r="B103" s="268"/>
      <c r="C103" s="268"/>
      <c r="D103" s="268"/>
      <c r="E103" s="268"/>
      <c r="F103" s="268"/>
    </row>
    <row r="104" spans="1:6" ht="117.75" customHeight="1" x14ac:dyDescent="0.3">
      <c r="A104" s="269" t="s">
        <v>567</v>
      </c>
      <c r="B104" s="269"/>
      <c r="C104" s="269"/>
      <c r="D104" s="269"/>
      <c r="E104" s="269"/>
      <c r="F104" s="269"/>
    </row>
    <row r="105" spans="1:6" ht="21" customHeight="1" x14ac:dyDescent="0.3">
      <c r="A105" s="113"/>
      <c r="B105" s="113"/>
      <c r="C105" s="113"/>
      <c r="D105" s="113"/>
      <c r="E105" s="113"/>
      <c r="F105" s="113"/>
    </row>
    <row r="106" spans="1:6" s="114" customFormat="1" ht="24" customHeight="1" x14ac:dyDescent="0.2">
      <c r="A106" s="181" t="s">
        <v>1</v>
      </c>
      <c r="B106" s="270" t="s">
        <v>2</v>
      </c>
      <c r="C106" s="270"/>
      <c r="D106" s="181" t="s">
        <v>3</v>
      </c>
      <c r="E106" s="181" t="s">
        <v>4</v>
      </c>
      <c r="F106" s="181" t="s">
        <v>5</v>
      </c>
    </row>
    <row r="107" spans="1:6" s="114" customFormat="1" ht="18.75" customHeight="1" x14ac:dyDescent="0.2">
      <c r="A107" s="247" t="s">
        <v>25</v>
      </c>
      <c r="B107" s="106" t="s">
        <v>475</v>
      </c>
      <c r="C107" s="115"/>
      <c r="D107" s="116">
        <v>143</v>
      </c>
      <c r="E107" s="117">
        <v>-23</v>
      </c>
      <c r="F107" s="117">
        <f>D107+E107</f>
        <v>120</v>
      </c>
    </row>
    <row r="108" spans="1:6" s="114" customFormat="1" ht="18.75" customHeight="1" x14ac:dyDescent="0.2">
      <c r="A108" s="248"/>
      <c r="B108" s="106" t="s">
        <v>96</v>
      </c>
      <c r="C108" s="115"/>
      <c r="D108" s="116">
        <v>43.2</v>
      </c>
      <c r="E108" s="117">
        <v>0.54251000000000005</v>
      </c>
      <c r="F108" s="117">
        <f>D108+E108</f>
        <v>43.742510000000003</v>
      </c>
    </row>
    <row r="109" spans="1:6" s="114" customFormat="1" ht="18.75" customHeight="1" x14ac:dyDescent="0.2">
      <c r="A109" s="248"/>
      <c r="B109" s="106" t="s">
        <v>51</v>
      </c>
      <c r="C109" s="115"/>
      <c r="D109" s="116">
        <v>8772.5</v>
      </c>
      <c r="E109" s="117">
        <f>108.50224+0.06037</f>
        <v>108.56261000000001</v>
      </c>
      <c r="F109" s="117">
        <f t="shared" ref="F109:F159" si="1">D109+E109</f>
        <v>8881.0626100000009</v>
      </c>
    </row>
    <row r="110" spans="1:6" s="114" customFormat="1" ht="18.75" customHeight="1" x14ac:dyDescent="0.2">
      <c r="A110" s="248"/>
      <c r="B110" s="106" t="s">
        <v>513</v>
      </c>
      <c r="C110" s="115"/>
      <c r="D110" s="116">
        <v>2.2000000000000002</v>
      </c>
      <c r="E110" s="117">
        <v>4.929E-2</v>
      </c>
      <c r="F110" s="117">
        <f t="shared" si="1"/>
        <v>2.2492900000000002</v>
      </c>
    </row>
    <row r="111" spans="1:6" s="114" customFormat="1" ht="18.75" customHeight="1" x14ac:dyDescent="0.2">
      <c r="A111" s="248"/>
      <c r="B111" s="106" t="s">
        <v>442</v>
      </c>
      <c r="C111" s="115"/>
      <c r="D111" s="116">
        <v>414.8</v>
      </c>
      <c r="E111" s="117">
        <v>35.150709999999997</v>
      </c>
      <c r="F111" s="117">
        <f t="shared" si="1"/>
        <v>449.95071000000002</v>
      </c>
    </row>
    <row r="112" spans="1:6" s="114" customFormat="1" ht="18.75" customHeight="1" x14ac:dyDescent="0.2">
      <c r="A112" s="248"/>
      <c r="B112" s="106" t="s">
        <v>518</v>
      </c>
      <c r="C112" s="115"/>
      <c r="D112" s="116">
        <v>708</v>
      </c>
      <c r="E112" s="117">
        <f>-204.88+28.50549-0.03449</f>
        <v>-176.40899999999999</v>
      </c>
      <c r="F112" s="117">
        <f t="shared" si="1"/>
        <v>531.59100000000001</v>
      </c>
    </row>
    <row r="113" spans="1:6" s="114" customFormat="1" ht="18.75" customHeight="1" x14ac:dyDescent="0.2">
      <c r="A113" s="248"/>
      <c r="B113" s="106" t="s">
        <v>444</v>
      </c>
      <c r="C113" s="115"/>
      <c r="D113" s="116">
        <v>55653</v>
      </c>
      <c r="E113" s="117">
        <f>-7524.62+671.6-28.50549+0.03449</f>
        <v>-6881.4909999999991</v>
      </c>
      <c r="F113" s="117">
        <f t="shared" si="1"/>
        <v>48771.508999999998</v>
      </c>
    </row>
    <row r="114" spans="1:6" s="114" customFormat="1" ht="18.75" customHeight="1" x14ac:dyDescent="0.2">
      <c r="A114" s="248"/>
      <c r="B114" s="106" t="s">
        <v>516</v>
      </c>
      <c r="C114" s="115"/>
      <c r="D114" s="167">
        <v>0.1</v>
      </c>
      <c r="E114" s="117">
        <v>1.9400000000000001E-2</v>
      </c>
      <c r="F114" s="167">
        <f t="shared" si="1"/>
        <v>0.11940000000000001</v>
      </c>
    </row>
    <row r="115" spans="1:6" s="114" customFormat="1" ht="18.75" customHeight="1" x14ac:dyDescent="0.2">
      <c r="A115" s="248"/>
      <c r="B115" s="106" t="s">
        <v>445</v>
      </c>
      <c r="C115" s="115"/>
      <c r="D115" s="116">
        <v>10.4</v>
      </c>
      <c r="E115" s="117">
        <v>4.9805999999999999</v>
      </c>
      <c r="F115" s="117">
        <f t="shared" si="1"/>
        <v>15.380600000000001</v>
      </c>
    </row>
    <row r="116" spans="1:6" s="114" customFormat="1" ht="18.75" customHeight="1" x14ac:dyDescent="0.2">
      <c r="A116" s="248"/>
      <c r="B116" s="106" t="s">
        <v>446</v>
      </c>
      <c r="C116" s="115"/>
      <c r="D116" s="116">
        <v>257.3</v>
      </c>
      <c r="E116" s="117">
        <v>-44</v>
      </c>
      <c r="F116" s="117">
        <f t="shared" si="1"/>
        <v>213.3</v>
      </c>
    </row>
    <row r="117" spans="1:6" s="114" customFormat="1" ht="18.75" customHeight="1" x14ac:dyDescent="0.2">
      <c r="A117" s="248"/>
      <c r="B117" s="106" t="s">
        <v>447</v>
      </c>
      <c r="C117" s="115"/>
      <c r="D117" s="116">
        <v>25756.7</v>
      </c>
      <c r="E117" s="117">
        <v>-2293</v>
      </c>
      <c r="F117" s="117">
        <f t="shared" si="1"/>
        <v>23463.7</v>
      </c>
    </row>
    <row r="118" spans="1:6" s="114" customFormat="1" ht="18.75" customHeight="1" x14ac:dyDescent="0.2">
      <c r="A118" s="248"/>
      <c r="B118" s="106" t="s">
        <v>449</v>
      </c>
      <c r="C118" s="115"/>
      <c r="D118" s="116">
        <v>29.6</v>
      </c>
      <c r="E118" s="117">
        <v>-6.7</v>
      </c>
      <c r="F118" s="117">
        <f t="shared" si="1"/>
        <v>22.900000000000002</v>
      </c>
    </row>
    <row r="119" spans="1:6" s="114" customFormat="1" ht="18.75" customHeight="1" x14ac:dyDescent="0.2">
      <c r="A119" s="248"/>
      <c r="B119" s="106" t="s">
        <v>450</v>
      </c>
      <c r="C119" s="115"/>
      <c r="D119" s="116">
        <v>1682.4</v>
      </c>
      <c r="E119" s="117">
        <v>-178.3</v>
      </c>
      <c r="F119" s="117">
        <f t="shared" si="1"/>
        <v>1504.1000000000001</v>
      </c>
    </row>
    <row r="120" spans="1:6" s="114" customFormat="1" ht="18.75" customHeight="1" x14ac:dyDescent="0.2">
      <c r="A120" s="248"/>
      <c r="B120" s="106" t="s">
        <v>451</v>
      </c>
      <c r="C120" s="115"/>
      <c r="D120" s="116">
        <v>112.9</v>
      </c>
      <c r="E120" s="117">
        <v>-11.2</v>
      </c>
      <c r="F120" s="117">
        <f t="shared" si="1"/>
        <v>101.7</v>
      </c>
    </row>
    <row r="121" spans="1:6" s="114" customFormat="1" ht="18.75" customHeight="1" x14ac:dyDescent="0.2">
      <c r="A121" s="248"/>
      <c r="B121" s="106" t="s">
        <v>452</v>
      </c>
      <c r="C121" s="115"/>
      <c r="D121" s="116">
        <v>8969.1</v>
      </c>
      <c r="E121" s="117">
        <v>-565.79999999999995</v>
      </c>
      <c r="F121" s="117">
        <f t="shared" si="1"/>
        <v>8403.3000000000011</v>
      </c>
    </row>
    <row r="122" spans="1:6" s="114" customFormat="1" ht="18.75" customHeight="1" x14ac:dyDescent="0.2">
      <c r="A122" s="248"/>
      <c r="B122" s="106" t="s">
        <v>499</v>
      </c>
      <c r="C122" s="115"/>
      <c r="D122" s="116">
        <v>63.9</v>
      </c>
      <c r="E122" s="117">
        <v>-3.1</v>
      </c>
      <c r="F122" s="117">
        <f t="shared" si="1"/>
        <v>60.8</v>
      </c>
    </row>
    <row r="123" spans="1:6" s="114" customFormat="1" ht="18.75" customHeight="1" x14ac:dyDescent="0.2">
      <c r="A123" s="248"/>
      <c r="B123" s="106" t="s">
        <v>102</v>
      </c>
      <c r="C123" s="115"/>
      <c r="D123" s="116">
        <v>12752.6</v>
      </c>
      <c r="E123" s="117">
        <v>-485.9</v>
      </c>
      <c r="F123" s="117">
        <f t="shared" si="1"/>
        <v>12266.7</v>
      </c>
    </row>
    <row r="124" spans="1:6" s="114" customFormat="1" ht="18.75" customHeight="1" x14ac:dyDescent="0.2">
      <c r="A124" s="248"/>
      <c r="B124" s="106" t="s">
        <v>496</v>
      </c>
      <c r="C124" s="115"/>
      <c r="D124" s="116">
        <v>4.9000000000000004</v>
      </c>
      <c r="E124" s="117">
        <v>-1</v>
      </c>
      <c r="F124" s="117">
        <f t="shared" si="1"/>
        <v>3.9000000000000004</v>
      </c>
    </row>
    <row r="125" spans="1:6" s="114" customFormat="1" ht="18.75" customHeight="1" x14ac:dyDescent="0.2">
      <c r="A125" s="248"/>
      <c r="B125" s="106" t="s">
        <v>456</v>
      </c>
      <c r="C125" s="115"/>
      <c r="D125" s="116">
        <v>457.4</v>
      </c>
      <c r="E125" s="117">
        <v>-35</v>
      </c>
      <c r="F125" s="117">
        <f t="shared" si="1"/>
        <v>422.4</v>
      </c>
    </row>
    <row r="126" spans="1:6" s="114" customFormat="1" ht="18.75" customHeight="1" x14ac:dyDescent="0.2">
      <c r="A126" s="248"/>
      <c r="B126" s="106" t="s">
        <v>457</v>
      </c>
      <c r="C126" s="115"/>
      <c r="D126" s="116">
        <v>10.199999999999999</v>
      </c>
      <c r="E126" s="117">
        <v>-6.3</v>
      </c>
      <c r="F126" s="117">
        <f t="shared" si="1"/>
        <v>3.8999999999999995</v>
      </c>
    </row>
    <row r="127" spans="1:6" s="114" customFormat="1" ht="18.75" customHeight="1" x14ac:dyDescent="0.2">
      <c r="A127" s="248"/>
      <c r="B127" s="106" t="s">
        <v>461</v>
      </c>
      <c r="C127" s="115"/>
      <c r="D127" s="116">
        <v>8.5</v>
      </c>
      <c r="E127" s="117">
        <v>-4.2</v>
      </c>
      <c r="F127" s="117">
        <f t="shared" si="1"/>
        <v>4.3</v>
      </c>
    </row>
    <row r="128" spans="1:6" s="114" customFormat="1" ht="18.75" customHeight="1" x14ac:dyDescent="0.2">
      <c r="A128" s="248"/>
      <c r="B128" s="106" t="s">
        <v>462</v>
      </c>
      <c r="C128" s="115"/>
      <c r="D128" s="116">
        <v>487.4</v>
      </c>
      <c r="E128" s="117">
        <v>-135.69999999999999</v>
      </c>
      <c r="F128" s="117">
        <f t="shared" si="1"/>
        <v>351.7</v>
      </c>
    </row>
    <row r="129" spans="1:6" s="114" customFormat="1" ht="18.75" customHeight="1" x14ac:dyDescent="0.2">
      <c r="A129" s="248"/>
      <c r="B129" s="106" t="s">
        <v>453</v>
      </c>
      <c r="C129" s="115"/>
      <c r="D129" s="116">
        <v>536</v>
      </c>
      <c r="E129" s="117">
        <v>-52</v>
      </c>
      <c r="F129" s="117">
        <f t="shared" si="1"/>
        <v>484</v>
      </c>
    </row>
    <row r="130" spans="1:6" s="114" customFormat="1" ht="18.75" customHeight="1" x14ac:dyDescent="0.2">
      <c r="A130" s="248"/>
      <c r="B130" s="106" t="s">
        <v>454</v>
      </c>
      <c r="C130" s="115"/>
      <c r="D130" s="116">
        <v>89711</v>
      </c>
      <c r="E130" s="117">
        <v>-2222</v>
      </c>
      <c r="F130" s="117">
        <f t="shared" si="1"/>
        <v>87489</v>
      </c>
    </row>
    <row r="131" spans="1:6" s="114" customFormat="1" ht="18.75" customHeight="1" x14ac:dyDescent="0.2">
      <c r="A131" s="248"/>
      <c r="B131" s="106" t="s">
        <v>463</v>
      </c>
      <c r="C131" s="115"/>
      <c r="D131" s="116">
        <v>1.2</v>
      </c>
      <c r="E131" s="117">
        <v>-1.2</v>
      </c>
      <c r="F131" s="117">
        <f t="shared" si="1"/>
        <v>0</v>
      </c>
    </row>
    <row r="132" spans="1:6" s="114" customFormat="1" ht="18.75" customHeight="1" x14ac:dyDescent="0.2">
      <c r="A132" s="248"/>
      <c r="B132" s="106" t="s">
        <v>127</v>
      </c>
      <c r="C132" s="115"/>
      <c r="D132" s="116">
        <v>9050.7999999999993</v>
      </c>
      <c r="E132" s="117">
        <v>-597</v>
      </c>
      <c r="F132" s="117">
        <f t="shared" si="1"/>
        <v>8453.7999999999993</v>
      </c>
    </row>
    <row r="133" spans="1:6" s="114" customFormat="1" ht="18.75" customHeight="1" x14ac:dyDescent="0.2">
      <c r="A133" s="248"/>
      <c r="B133" s="106" t="s">
        <v>502</v>
      </c>
      <c r="C133" s="115"/>
      <c r="D133" s="116">
        <v>300</v>
      </c>
      <c r="E133" s="117">
        <v>-46</v>
      </c>
      <c r="F133" s="117">
        <f t="shared" si="1"/>
        <v>254</v>
      </c>
    </row>
    <row r="134" spans="1:6" s="114" customFormat="1" ht="18.75" customHeight="1" x14ac:dyDescent="0.2">
      <c r="A134" s="248"/>
      <c r="B134" s="106" t="s">
        <v>458</v>
      </c>
      <c r="C134" s="115"/>
      <c r="D134" s="116">
        <v>20561</v>
      </c>
      <c r="E134" s="117">
        <v>-361</v>
      </c>
      <c r="F134" s="117">
        <f t="shared" si="1"/>
        <v>20200</v>
      </c>
    </row>
    <row r="135" spans="1:6" s="114" customFormat="1" ht="19.5" customHeight="1" x14ac:dyDescent="0.2">
      <c r="A135" s="248"/>
      <c r="B135" s="106" t="s">
        <v>469</v>
      </c>
      <c r="C135" s="115"/>
      <c r="D135" s="116">
        <v>1.5</v>
      </c>
      <c r="E135" s="117">
        <v>-0.45</v>
      </c>
      <c r="F135" s="117">
        <f t="shared" si="1"/>
        <v>1.05</v>
      </c>
    </row>
    <row r="136" spans="1:6" s="114" customFormat="1" ht="18.75" customHeight="1" x14ac:dyDescent="0.2">
      <c r="A136" s="248"/>
      <c r="B136" s="106" t="s">
        <v>470</v>
      </c>
      <c r="C136" s="115"/>
      <c r="D136" s="116">
        <v>93.5</v>
      </c>
      <c r="E136" s="117">
        <v>-14.05</v>
      </c>
      <c r="F136" s="117">
        <f t="shared" si="1"/>
        <v>79.45</v>
      </c>
    </row>
    <row r="137" spans="1:6" s="114" customFormat="1" ht="18.75" customHeight="1" x14ac:dyDescent="0.2">
      <c r="A137" s="248"/>
      <c r="B137" s="106" t="s">
        <v>472</v>
      </c>
      <c r="C137" s="115"/>
      <c r="D137" s="116">
        <v>6.5</v>
      </c>
      <c r="E137" s="117">
        <v>-1.65</v>
      </c>
      <c r="F137" s="117">
        <f t="shared" si="1"/>
        <v>4.8499999999999996</v>
      </c>
    </row>
    <row r="138" spans="1:6" s="114" customFormat="1" ht="18.75" customHeight="1" x14ac:dyDescent="0.2">
      <c r="A138" s="248"/>
      <c r="B138" s="106" t="s">
        <v>473</v>
      </c>
      <c r="C138" s="115"/>
      <c r="D138" s="116">
        <v>1146.5</v>
      </c>
      <c r="E138" s="117">
        <v>-165.15</v>
      </c>
      <c r="F138" s="117">
        <f t="shared" si="1"/>
        <v>981.35</v>
      </c>
    </row>
    <row r="139" spans="1:6" s="114" customFormat="1" ht="18.75" customHeight="1" x14ac:dyDescent="0.2">
      <c r="A139" s="248"/>
      <c r="B139" s="106" t="s">
        <v>466</v>
      </c>
      <c r="C139" s="115"/>
      <c r="D139" s="116">
        <v>7.7</v>
      </c>
      <c r="E139" s="117">
        <v>-0.3</v>
      </c>
      <c r="F139" s="117">
        <f t="shared" si="1"/>
        <v>7.4</v>
      </c>
    </row>
    <row r="140" spans="1:6" s="114" customFormat="1" ht="18.75" customHeight="1" x14ac:dyDescent="0.2">
      <c r="A140" s="248"/>
      <c r="B140" s="106" t="s">
        <v>467</v>
      </c>
      <c r="C140" s="115"/>
      <c r="D140" s="116">
        <v>438.3</v>
      </c>
      <c r="E140" s="117">
        <v>-45.1</v>
      </c>
      <c r="F140" s="117">
        <f t="shared" si="1"/>
        <v>393.2</v>
      </c>
    </row>
    <row r="141" spans="1:6" ht="18.75" x14ac:dyDescent="0.3">
      <c r="A141" s="248"/>
      <c r="B141" s="106" t="s">
        <v>381</v>
      </c>
      <c r="C141" s="107"/>
      <c r="D141" s="126">
        <f>890.7+2.5</f>
        <v>893.2</v>
      </c>
      <c r="E141" s="141">
        <v>52.32188</v>
      </c>
      <c r="F141" s="123">
        <f t="shared" ref="F141" si="2">SUM(D141:E141)</f>
        <v>945.52188000000001</v>
      </c>
    </row>
    <row r="142" spans="1:6" ht="18.75" x14ac:dyDescent="0.3">
      <c r="A142" s="248"/>
      <c r="B142" s="106" t="s">
        <v>104</v>
      </c>
      <c r="C142" s="107"/>
      <c r="D142" s="126">
        <v>92307.8</v>
      </c>
      <c r="E142" s="141">
        <f>1268-52.32188</f>
        <v>1215.67812</v>
      </c>
      <c r="F142" s="123">
        <f t="shared" ref="F142" si="3">SUM(D142:E142)</f>
        <v>93523.47812</v>
      </c>
    </row>
    <row r="143" spans="1:6" s="114" customFormat="1" ht="18.75" customHeight="1" x14ac:dyDescent="0.2">
      <c r="A143" s="248"/>
      <c r="B143" s="106" t="s">
        <v>506</v>
      </c>
      <c r="C143" s="115"/>
      <c r="D143" s="116">
        <v>23.2</v>
      </c>
      <c r="E143" s="117">
        <v>-2.9</v>
      </c>
      <c r="F143" s="117">
        <f t="shared" ref="F143" si="4">D143+E143</f>
        <v>20.3</v>
      </c>
    </row>
    <row r="144" spans="1:6" s="114" customFormat="1" ht="18.75" customHeight="1" x14ac:dyDescent="0.2">
      <c r="A144" s="248"/>
      <c r="B144" s="106" t="s">
        <v>471</v>
      </c>
      <c r="C144" s="115"/>
      <c r="D144" s="116">
        <v>1311.9</v>
      </c>
      <c r="E144" s="117">
        <v>-166.1</v>
      </c>
      <c r="F144" s="117">
        <f t="shared" si="1"/>
        <v>1145.8000000000002</v>
      </c>
    </row>
    <row r="145" spans="1:6" s="114" customFormat="1" ht="18.75" customHeight="1" x14ac:dyDescent="0.2">
      <c r="A145" s="248"/>
      <c r="B145" s="106" t="s">
        <v>478</v>
      </c>
      <c r="C145" s="115"/>
      <c r="D145" s="116">
        <v>8488.7999999999993</v>
      </c>
      <c r="E145" s="117">
        <v>287.89999999999998</v>
      </c>
      <c r="F145" s="117">
        <f t="shared" si="1"/>
        <v>8776.6999999999989</v>
      </c>
    </row>
    <row r="146" spans="1:6" s="114" customFormat="1" ht="18.75" customHeight="1" x14ac:dyDescent="0.2">
      <c r="A146" s="248"/>
      <c r="B146" s="106" t="s">
        <v>443</v>
      </c>
      <c r="C146" s="115"/>
      <c r="D146" s="116">
        <v>242</v>
      </c>
      <c r="E146" s="117">
        <v>27</v>
      </c>
      <c r="F146" s="117">
        <f t="shared" si="1"/>
        <v>269</v>
      </c>
    </row>
    <row r="147" spans="1:6" s="114" customFormat="1" ht="18.75" customHeight="1" x14ac:dyDescent="0.2">
      <c r="A147" s="248"/>
      <c r="B147" s="106" t="s">
        <v>498</v>
      </c>
      <c r="C147" s="115"/>
      <c r="D147" s="116">
        <v>1</v>
      </c>
      <c r="E147" s="117">
        <v>-1</v>
      </c>
      <c r="F147" s="117">
        <f t="shared" si="1"/>
        <v>0</v>
      </c>
    </row>
    <row r="148" spans="1:6" s="114" customFormat="1" ht="18.75" customHeight="1" x14ac:dyDescent="0.2">
      <c r="A148" s="248"/>
      <c r="B148" s="106" t="s">
        <v>106</v>
      </c>
      <c r="C148" s="115"/>
      <c r="D148" s="116">
        <v>51524</v>
      </c>
      <c r="E148" s="117">
        <v>-899</v>
      </c>
      <c r="F148" s="117">
        <f t="shared" si="1"/>
        <v>50625</v>
      </c>
    </row>
    <row r="149" spans="1:6" s="114" customFormat="1" ht="18.75" customHeight="1" x14ac:dyDescent="0.2">
      <c r="A149" s="248"/>
      <c r="B149" s="106" t="s">
        <v>459</v>
      </c>
      <c r="C149" s="115"/>
      <c r="D149" s="116">
        <v>28359</v>
      </c>
      <c r="E149" s="117">
        <v>-474.2</v>
      </c>
      <c r="F149" s="117">
        <f t="shared" si="1"/>
        <v>27884.799999999999</v>
      </c>
    </row>
    <row r="150" spans="1:6" s="114" customFormat="1" ht="18.75" customHeight="1" x14ac:dyDescent="0.2">
      <c r="A150" s="248"/>
      <c r="B150" s="106" t="s">
        <v>464</v>
      </c>
      <c r="C150" s="115"/>
      <c r="D150" s="116">
        <v>46184</v>
      </c>
      <c r="E150" s="117">
        <v>-7086</v>
      </c>
      <c r="F150" s="117">
        <f t="shared" si="1"/>
        <v>39098</v>
      </c>
    </row>
    <row r="151" spans="1:6" s="114" customFormat="1" ht="18.75" customHeight="1" x14ac:dyDescent="0.2">
      <c r="A151" s="249"/>
      <c r="B151" s="106" t="s">
        <v>465</v>
      </c>
      <c r="C151" s="115"/>
      <c r="D151" s="116">
        <v>231</v>
      </c>
      <c r="E151" s="117">
        <v>-38</v>
      </c>
      <c r="F151" s="117">
        <f t="shared" si="1"/>
        <v>193</v>
      </c>
    </row>
    <row r="152" spans="1:6" s="114" customFormat="1" ht="18.75" customHeight="1" x14ac:dyDescent="0.3">
      <c r="A152" s="178" t="s">
        <v>30</v>
      </c>
      <c r="B152" s="106" t="s">
        <v>480</v>
      </c>
      <c r="C152" s="115"/>
      <c r="D152" s="116">
        <v>259000</v>
      </c>
      <c r="E152" s="117">
        <v>2693.5</v>
      </c>
      <c r="F152" s="117">
        <f t="shared" si="1"/>
        <v>261693.5</v>
      </c>
    </row>
    <row r="153" spans="1:6" s="114" customFormat="1" ht="18.75" customHeight="1" x14ac:dyDescent="0.2">
      <c r="A153" s="247" t="s">
        <v>8</v>
      </c>
      <c r="B153" s="106" t="s">
        <v>103</v>
      </c>
      <c r="C153" s="115"/>
      <c r="D153" s="116">
        <v>7586.5</v>
      </c>
      <c r="E153" s="117">
        <v>-933</v>
      </c>
      <c r="F153" s="117">
        <f t="shared" si="1"/>
        <v>6653.5</v>
      </c>
    </row>
    <row r="154" spans="1:6" s="114" customFormat="1" ht="18.75" customHeight="1" x14ac:dyDescent="0.2">
      <c r="A154" s="248"/>
      <c r="B154" s="106" t="s">
        <v>553</v>
      </c>
      <c r="C154" s="115"/>
      <c r="D154" s="116">
        <v>1560.4</v>
      </c>
      <c r="E154" s="117">
        <v>-300</v>
      </c>
      <c r="F154" s="117">
        <f t="shared" si="1"/>
        <v>1260.4000000000001</v>
      </c>
    </row>
    <row r="155" spans="1:6" s="114" customFormat="1" ht="18.75" customHeight="1" x14ac:dyDescent="0.2">
      <c r="A155" s="248"/>
      <c r="B155" s="106" t="s">
        <v>554</v>
      </c>
      <c r="C155" s="115"/>
      <c r="D155" s="116">
        <v>207</v>
      </c>
      <c r="E155" s="117">
        <v>-63</v>
      </c>
      <c r="F155" s="117">
        <f t="shared" si="1"/>
        <v>144</v>
      </c>
    </row>
    <row r="156" spans="1:6" s="114" customFormat="1" ht="18.75" customHeight="1" x14ac:dyDescent="0.2">
      <c r="A156" s="248"/>
      <c r="B156" s="106" t="s">
        <v>555</v>
      </c>
      <c r="C156" s="115"/>
      <c r="D156" s="116">
        <v>570</v>
      </c>
      <c r="E156" s="117">
        <v>-47</v>
      </c>
      <c r="F156" s="117">
        <f t="shared" si="1"/>
        <v>523</v>
      </c>
    </row>
    <row r="157" spans="1:6" s="114" customFormat="1" ht="18.75" customHeight="1" x14ac:dyDescent="0.2">
      <c r="A157" s="248"/>
      <c r="B157" s="106" t="s">
        <v>556</v>
      </c>
      <c r="C157" s="115"/>
      <c r="D157" s="116">
        <v>350</v>
      </c>
      <c r="E157" s="117">
        <v>-64</v>
      </c>
      <c r="F157" s="117">
        <f t="shared" si="1"/>
        <v>286</v>
      </c>
    </row>
    <row r="158" spans="1:6" s="114" customFormat="1" ht="18.75" customHeight="1" x14ac:dyDescent="0.2">
      <c r="A158" s="248"/>
      <c r="B158" s="106" t="s">
        <v>557</v>
      </c>
      <c r="C158" s="115"/>
      <c r="D158" s="116">
        <v>35842</v>
      </c>
      <c r="E158" s="117">
        <v>-2000</v>
      </c>
      <c r="F158" s="117">
        <f t="shared" si="1"/>
        <v>33842</v>
      </c>
    </row>
    <row r="159" spans="1:6" s="114" customFormat="1" ht="18.75" customHeight="1" x14ac:dyDescent="0.2">
      <c r="A159" s="249"/>
      <c r="B159" s="106" t="s">
        <v>558</v>
      </c>
      <c r="C159" s="115"/>
      <c r="D159" s="116">
        <v>2847.4</v>
      </c>
      <c r="E159" s="117">
        <v>-205</v>
      </c>
      <c r="F159" s="117">
        <f t="shared" si="1"/>
        <v>2642.4</v>
      </c>
    </row>
    <row r="160" spans="1:6" s="114" customFormat="1" ht="18.75" customHeight="1" x14ac:dyDescent="0.2">
      <c r="A160" s="247" t="s">
        <v>26</v>
      </c>
      <c r="B160" s="106" t="s">
        <v>367</v>
      </c>
      <c r="C160" s="115"/>
      <c r="D160" s="116">
        <v>16799.5</v>
      </c>
      <c r="E160" s="117">
        <v>-937.32759999999996</v>
      </c>
      <c r="F160" s="117">
        <f>D160+E160</f>
        <v>15862.172399999999</v>
      </c>
    </row>
    <row r="161" spans="1:7" s="114" customFormat="1" ht="18.75" customHeight="1" x14ac:dyDescent="0.2">
      <c r="A161" s="248"/>
      <c r="B161" s="106" t="s">
        <v>368</v>
      </c>
      <c r="C161" s="115"/>
      <c r="D161" s="116">
        <v>5000</v>
      </c>
      <c r="E161" s="117">
        <v>-3281.9212299999999</v>
      </c>
      <c r="F161" s="117">
        <f t="shared" ref="F161:F163" si="5">D161+E161</f>
        <v>1718.0787700000001</v>
      </c>
    </row>
    <row r="162" spans="1:7" s="114" customFormat="1" ht="18.75" customHeight="1" x14ac:dyDescent="0.2">
      <c r="A162" s="248"/>
      <c r="B162" s="106" t="s">
        <v>540</v>
      </c>
      <c r="C162" s="115"/>
      <c r="D162" s="116">
        <v>62700</v>
      </c>
      <c r="E162" s="117">
        <v>-27.273</v>
      </c>
      <c r="F162" s="117">
        <f t="shared" si="5"/>
        <v>62672.726999999999</v>
      </c>
    </row>
    <row r="163" spans="1:7" s="114" customFormat="1" ht="18.75" customHeight="1" x14ac:dyDescent="0.2">
      <c r="A163" s="249"/>
      <c r="B163" s="106" t="s">
        <v>568</v>
      </c>
      <c r="C163" s="115"/>
      <c r="D163" s="116">
        <v>6975</v>
      </c>
      <c r="E163" s="117">
        <v>-6975</v>
      </c>
      <c r="F163" s="117">
        <f t="shared" si="5"/>
        <v>0</v>
      </c>
    </row>
    <row r="164" spans="1:7" ht="22.5" customHeight="1" x14ac:dyDescent="0.35">
      <c r="A164" s="80" t="s">
        <v>6</v>
      </c>
      <c r="B164" s="284"/>
      <c r="C164" s="284"/>
      <c r="D164" s="118"/>
      <c r="E164" s="119">
        <f>SUM(E107:E163)</f>
        <v>-33432.016709999996</v>
      </c>
      <c r="F164" s="118"/>
      <c r="G164" s="120"/>
    </row>
    <row r="165" spans="1:7" ht="11.25" customHeight="1" x14ac:dyDescent="0.35">
      <c r="A165" s="81"/>
      <c r="B165" s="82"/>
      <c r="C165" s="82"/>
      <c r="D165" s="83"/>
      <c r="E165" s="84"/>
      <c r="F165" s="83"/>
    </row>
    <row r="166" spans="1:7" ht="22.5" customHeight="1" x14ac:dyDescent="0.3">
      <c r="A166" s="285" t="s">
        <v>291</v>
      </c>
      <c r="B166" s="285"/>
      <c r="C166" s="285"/>
      <c r="D166" s="285"/>
      <c r="E166" s="285"/>
      <c r="F166" s="285"/>
    </row>
    <row r="167" spans="1:7" ht="24.75" customHeight="1" x14ac:dyDescent="0.3">
      <c r="A167" s="182" t="s">
        <v>31</v>
      </c>
      <c r="B167" s="177"/>
      <c r="C167" s="177"/>
      <c r="D167" s="177"/>
      <c r="E167" s="177"/>
      <c r="F167" s="177"/>
    </row>
    <row r="168" spans="1:7" ht="76.5" customHeight="1" x14ac:dyDescent="0.3">
      <c r="A168" s="271" t="s">
        <v>532</v>
      </c>
      <c r="B168" s="271"/>
      <c r="C168" s="271"/>
      <c r="D168" s="271"/>
      <c r="E168" s="271"/>
      <c r="F168" s="271"/>
    </row>
    <row r="169" spans="1:7" ht="36" customHeight="1" x14ac:dyDescent="0.3">
      <c r="A169" s="283" t="s">
        <v>551</v>
      </c>
      <c r="B169" s="271"/>
      <c r="C169" s="271"/>
      <c r="D169" s="271"/>
      <c r="E169" s="271"/>
      <c r="F169" s="271"/>
    </row>
    <row r="170" spans="1:7" ht="54" customHeight="1" x14ac:dyDescent="0.3">
      <c r="A170" s="244" t="s">
        <v>507</v>
      </c>
      <c r="B170" s="244"/>
      <c r="C170" s="244"/>
      <c r="D170" s="244"/>
      <c r="E170" s="244"/>
      <c r="F170" s="244"/>
    </row>
    <row r="171" spans="1:7" ht="61.5" customHeight="1" x14ac:dyDescent="0.3">
      <c r="A171" s="244" t="s">
        <v>385</v>
      </c>
      <c r="B171" s="244"/>
      <c r="C171" s="244"/>
      <c r="D171" s="244"/>
      <c r="E171" s="244"/>
      <c r="F171" s="244"/>
    </row>
    <row r="172" spans="1:7" ht="41.25" customHeight="1" x14ac:dyDescent="0.3">
      <c r="A172" s="244" t="s">
        <v>541</v>
      </c>
      <c r="B172" s="244"/>
      <c r="C172" s="244"/>
      <c r="D172" s="244"/>
      <c r="E172" s="244"/>
      <c r="F172" s="244"/>
    </row>
    <row r="173" spans="1:7" ht="78.75" customHeight="1" x14ac:dyDescent="0.3">
      <c r="A173" s="244" t="s">
        <v>570</v>
      </c>
      <c r="B173" s="244"/>
      <c r="C173" s="244"/>
      <c r="D173" s="244"/>
      <c r="E173" s="244"/>
      <c r="F173" s="244"/>
    </row>
    <row r="174" spans="1:7" ht="81" customHeight="1" x14ac:dyDescent="0.3">
      <c r="A174" s="271" t="s">
        <v>533</v>
      </c>
      <c r="B174" s="271"/>
      <c r="C174" s="271"/>
      <c r="D174" s="271"/>
      <c r="E174" s="271"/>
      <c r="F174" s="271"/>
    </row>
    <row r="175" spans="1:7" s="110" customFormat="1" ht="64.5" customHeight="1" x14ac:dyDescent="0.3">
      <c r="A175" s="273" t="s">
        <v>563</v>
      </c>
      <c r="B175" s="273"/>
      <c r="C175" s="273"/>
      <c r="D175" s="273"/>
      <c r="E175" s="273"/>
      <c r="F175" s="273"/>
    </row>
    <row r="176" spans="1:7" ht="94.5" customHeight="1" x14ac:dyDescent="0.3">
      <c r="A176" s="244" t="s">
        <v>549</v>
      </c>
      <c r="B176" s="244"/>
      <c r="C176" s="244"/>
      <c r="D176" s="244"/>
      <c r="E176" s="244"/>
      <c r="F176" s="244"/>
    </row>
    <row r="177" spans="1:6" ht="40.5" customHeight="1" x14ac:dyDescent="0.3">
      <c r="A177" s="244" t="s">
        <v>392</v>
      </c>
      <c r="B177" s="244"/>
      <c r="C177" s="244"/>
      <c r="D177" s="244"/>
      <c r="E177" s="244"/>
      <c r="F177" s="244"/>
    </row>
    <row r="178" spans="1:6" ht="40.5" customHeight="1" x14ac:dyDescent="0.3">
      <c r="A178" s="244" t="s">
        <v>517</v>
      </c>
      <c r="B178" s="244"/>
      <c r="C178" s="244"/>
      <c r="D178" s="244"/>
      <c r="E178" s="244"/>
      <c r="F178" s="244"/>
    </row>
    <row r="179" spans="1:6" ht="40.5" customHeight="1" x14ac:dyDescent="0.3">
      <c r="A179" s="244" t="s">
        <v>542</v>
      </c>
      <c r="B179" s="244"/>
      <c r="C179" s="244"/>
      <c r="D179" s="244"/>
      <c r="E179" s="244"/>
      <c r="F179" s="244"/>
    </row>
    <row r="180" spans="1:6" ht="40.5" customHeight="1" x14ac:dyDescent="0.3">
      <c r="A180" s="244" t="s">
        <v>505</v>
      </c>
      <c r="B180" s="244"/>
      <c r="C180" s="244"/>
      <c r="D180" s="244"/>
      <c r="E180" s="244"/>
      <c r="F180" s="244"/>
    </row>
    <row r="181" spans="1:6" ht="53.25" customHeight="1" x14ac:dyDescent="0.3">
      <c r="A181" s="244" t="s">
        <v>528</v>
      </c>
      <c r="B181" s="244"/>
      <c r="C181" s="244"/>
      <c r="D181" s="244"/>
      <c r="E181" s="244"/>
      <c r="F181" s="244"/>
    </row>
    <row r="182" spans="1:6" ht="40.5" customHeight="1" x14ac:dyDescent="0.3">
      <c r="A182" s="244" t="s">
        <v>519</v>
      </c>
      <c r="B182" s="244"/>
      <c r="C182" s="244"/>
      <c r="D182" s="244"/>
      <c r="E182" s="244"/>
      <c r="F182" s="244"/>
    </row>
    <row r="183" spans="1:6" ht="40.5" customHeight="1" x14ac:dyDescent="0.3">
      <c r="A183" s="244" t="s">
        <v>525</v>
      </c>
      <c r="B183" s="244"/>
      <c r="C183" s="244"/>
      <c r="D183" s="244"/>
      <c r="E183" s="244"/>
      <c r="F183" s="244"/>
    </row>
    <row r="184" spans="1:6" ht="58.5" customHeight="1" x14ac:dyDescent="0.3">
      <c r="A184" s="269" t="s">
        <v>386</v>
      </c>
      <c r="B184" s="269"/>
      <c r="C184" s="269"/>
      <c r="D184" s="269"/>
      <c r="E184" s="269"/>
      <c r="F184" s="269"/>
    </row>
    <row r="185" spans="1:6" ht="39.75" customHeight="1" x14ac:dyDescent="0.3">
      <c r="A185" s="244" t="s">
        <v>393</v>
      </c>
      <c r="B185" s="244"/>
      <c r="C185" s="244"/>
      <c r="D185" s="244"/>
      <c r="E185" s="244"/>
      <c r="F185" s="244"/>
    </row>
    <row r="186" spans="1:6" ht="42" customHeight="1" x14ac:dyDescent="0.3">
      <c r="A186" s="283" t="s">
        <v>552</v>
      </c>
      <c r="B186" s="244"/>
      <c r="C186" s="244"/>
      <c r="D186" s="244"/>
      <c r="E186" s="244"/>
      <c r="F186" s="244"/>
    </row>
    <row r="187" spans="1:6" ht="38.25" customHeight="1" x14ac:dyDescent="0.3">
      <c r="A187" s="244" t="s">
        <v>534</v>
      </c>
      <c r="B187" s="244"/>
      <c r="C187" s="244"/>
      <c r="D187" s="244"/>
      <c r="E187" s="244"/>
      <c r="F187" s="244"/>
    </row>
    <row r="188" spans="1:6" ht="38.25" customHeight="1" x14ac:dyDescent="0.3">
      <c r="A188" s="244" t="s">
        <v>569</v>
      </c>
      <c r="B188" s="244"/>
      <c r="C188" s="244"/>
      <c r="D188" s="244"/>
      <c r="E188" s="244"/>
      <c r="F188" s="244"/>
    </row>
    <row r="189" spans="1:6" ht="42" customHeight="1" x14ac:dyDescent="0.3">
      <c r="A189" s="244" t="s">
        <v>634</v>
      </c>
      <c r="B189" s="244"/>
      <c r="C189" s="244"/>
      <c r="D189" s="244"/>
      <c r="E189" s="244"/>
      <c r="F189" s="244"/>
    </row>
    <row r="190" spans="1:6" x14ac:dyDescent="0.25">
      <c r="A190" s="14"/>
      <c r="B190" s="14"/>
      <c r="C190" s="14"/>
      <c r="D190" s="14"/>
      <c r="E190" s="14"/>
      <c r="F190" s="96" t="s">
        <v>254</v>
      </c>
    </row>
    <row r="191" spans="1:6" ht="18.75" x14ac:dyDescent="0.25">
      <c r="A191" s="181" t="s">
        <v>1</v>
      </c>
      <c r="B191" s="270" t="s">
        <v>2</v>
      </c>
      <c r="C191" s="270"/>
      <c r="D191" s="181" t="s">
        <v>3</v>
      </c>
      <c r="E191" s="181" t="s">
        <v>4</v>
      </c>
      <c r="F191" s="181" t="s">
        <v>5</v>
      </c>
    </row>
    <row r="192" spans="1:6" ht="18.75" hidden="1" x14ac:dyDescent="0.25">
      <c r="A192" s="251" t="s">
        <v>30</v>
      </c>
      <c r="B192" s="106" t="s">
        <v>282</v>
      </c>
      <c r="C192" s="107"/>
      <c r="D192" s="108">
        <v>7839.6</v>
      </c>
      <c r="E192" s="108"/>
      <c r="F192" s="109">
        <f t="shared" ref="F192:F276" si="6">SUM(D192:E192)</f>
        <v>7839.6</v>
      </c>
    </row>
    <row r="193" spans="1:6" ht="18.75" x14ac:dyDescent="0.3">
      <c r="A193" s="252"/>
      <c r="B193" s="121" t="s">
        <v>283</v>
      </c>
      <c r="C193" s="122"/>
      <c r="D193" s="123">
        <v>1952.6</v>
      </c>
      <c r="E193" s="123">
        <f>-0.1-1.4-60.5</f>
        <v>-62</v>
      </c>
      <c r="F193" s="124">
        <f t="shared" si="6"/>
        <v>1890.6</v>
      </c>
    </row>
    <row r="194" spans="1:6" ht="18.75" x14ac:dyDescent="0.3">
      <c r="A194" s="252"/>
      <c r="B194" s="121" t="s">
        <v>292</v>
      </c>
      <c r="C194" s="122"/>
      <c r="D194" s="123">
        <v>36685.300000000003</v>
      </c>
      <c r="E194" s="123">
        <f>-386+1.4+0.1</f>
        <v>-384.5</v>
      </c>
      <c r="F194" s="124">
        <f t="shared" si="6"/>
        <v>36300.800000000003</v>
      </c>
    </row>
    <row r="195" spans="1:6" ht="18.75" x14ac:dyDescent="0.3">
      <c r="A195" s="252"/>
      <c r="B195" s="121" t="s">
        <v>284</v>
      </c>
      <c r="C195" s="122"/>
      <c r="D195" s="123">
        <v>20228.3</v>
      </c>
      <c r="E195" s="123">
        <f>381.4+347+455.7+126.1</f>
        <v>1310.1999999999998</v>
      </c>
      <c r="F195" s="124">
        <f t="shared" si="6"/>
        <v>21538.5</v>
      </c>
    </row>
    <row r="196" spans="1:6" ht="18.75" x14ac:dyDescent="0.3">
      <c r="A196" s="252"/>
      <c r="B196" s="121" t="s">
        <v>370</v>
      </c>
      <c r="C196" s="122"/>
      <c r="D196" s="123">
        <v>435.7</v>
      </c>
      <c r="E196" s="123">
        <v>28.9</v>
      </c>
      <c r="F196" s="124">
        <f t="shared" si="6"/>
        <v>464.59999999999997</v>
      </c>
    </row>
    <row r="197" spans="1:6" ht="18.75" x14ac:dyDescent="0.3">
      <c r="A197" s="252"/>
      <c r="B197" s="121" t="s">
        <v>371</v>
      </c>
      <c r="C197" s="122"/>
      <c r="D197" s="123">
        <v>4954.3</v>
      </c>
      <c r="E197" s="123">
        <f>-24.2-452.8+357</f>
        <v>-120</v>
      </c>
      <c r="F197" s="124">
        <f t="shared" ref="F197" si="7">SUM(D197:E197)</f>
        <v>4834.3</v>
      </c>
    </row>
    <row r="198" spans="1:6" ht="18.75" x14ac:dyDescent="0.3">
      <c r="A198" s="252"/>
      <c r="B198" s="121" t="s">
        <v>524</v>
      </c>
      <c r="C198" s="122"/>
      <c r="D198" s="123">
        <v>421.3</v>
      </c>
      <c r="E198" s="123">
        <v>14.1</v>
      </c>
      <c r="F198" s="124">
        <f t="shared" si="6"/>
        <v>435.40000000000003</v>
      </c>
    </row>
    <row r="199" spans="1:6" ht="18.75" x14ac:dyDescent="0.3">
      <c r="A199" s="252"/>
      <c r="B199" s="121" t="s">
        <v>336</v>
      </c>
      <c r="C199" s="122"/>
      <c r="D199" s="123">
        <v>358.8</v>
      </c>
      <c r="E199" s="123">
        <v>-1.7</v>
      </c>
      <c r="F199" s="124">
        <f t="shared" si="6"/>
        <v>357.1</v>
      </c>
    </row>
    <row r="200" spans="1:6" ht="18.75" x14ac:dyDescent="0.3">
      <c r="A200" s="252"/>
      <c r="B200" s="121" t="s">
        <v>337</v>
      </c>
      <c r="C200" s="122"/>
      <c r="D200" s="123">
        <v>28.1</v>
      </c>
      <c r="E200" s="123">
        <v>1.7</v>
      </c>
      <c r="F200" s="124">
        <f t="shared" si="6"/>
        <v>29.8</v>
      </c>
    </row>
    <row r="201" spans="1:6" ht="18.75" x14ac:dyDescent="0.3">
      <c r="A201" s="252"/>
      <c r="B201" s="121" t="s">
        <v>282</v>
      </c>
      <c r="C201" s="122"/>
      <c r="D201" s="123">
        <v>7839.5961900000002</v>
      </c>
      <c r="E201" s="123">
        <f>-347-7481.0962-11.5</f>
        <v>-7839.5962</v>
      </c>
      <c r="F201" s="124">
        <f t="shared" si="6"/>
        <v>-9.9999997473787516E-6</v>
      </c>
    </row>
    <row r="202" spans="1:6" ht="18.75" x14ac:dyDescent="0.3">
      <c r="A202" s="252"/>
      <c r="B202" s="121" t="s">
        <v>487</v>
      </c>
      <c r="C202" s="122"/>
      <c r="D202" s="123">
        <v>5231.1000000000004</v>
      </c>
      <c r="E202" s="123">
        <f>-23.7-150+132.8</f>
        <v>-40.899999999999977</v>
      </c>
      <c r="F202" s="124">
        <f t="shared" si="6"/>
        <v>5190.2000000000007</v>
      </c>
    </row>
    <row r="203" spans="1:6" ht="18.75" x14ac:dyDescent="0.3">
      <c r="A203" s="252"/>
      <c r="B203" s="121" t="s">
        <v>305</v>
      </c>
      <c r="C203" s="122"/>
      <c r="D203" s="123">
        <v>1579.6</v>
      </c>
      <c r="E203" s="123">
        <f>-881.6299-634.7771</f>
        <v>-1516.4070000000002</v>
      </c>
      <c r="F203" s="124">
        <f t="shared" si="6"/>
        <v>63.192999999999756</v>
      </c>
    </row>
    <row r="204" spans="1:6" ht="18.75" x14ac:dyDescent="0.3">
      <c r="A204" s="252"/>
      <c r="B204" s="121" t="s">
        <v>306</v>
      </c>
      <c r="C204" s="122"/>
      <c r="D204" s="123">
        <v>0</v>
      </c>
      <c r="E204" s="123">
        <f>1952.562+414.6</f>
        <v>2367.1619999999998</v>
      </c>
      <c r="F204" s="124">
        <f t="shared" si="6"/>
        <v>2367.1619999999998</v>
      </c>
    </row>
    <row r="205" spans="1:6" ht="18.75" x14ac:dyDescent="0.3">
      <c r="A205" s="252"/>
      <c r="B205" s="121" t="s">
        <v>307</v>
      </c>
      <c r="C205" s="122"/>
      <c r="D205" s="123">
        <v>0</v>
      </c>
      <c r="E205" s="123">
        <v>100</v>
      </c>
      <c r="F205" s="124">
        <f t="shared" si="6"/>
        <v>100</v>
      </c>
    </row>
    <row r="206" spans="1:6" ht="18.75" x14ac:dyDescent="0.3">
      <c r="A206" s="252"/>
      <c r="B206" s="121" t="s">
        <v>308</v>
      </c>
      <c r="C206" s="122"/>
      <c r="D206" s="123">
        <v>5580.9</v>
      </c>
      <c r="E206" s="123">
        <f>-2365.07414-0.27608-424.82+0.03055-0.00659</f>
        <v>-2790.1462600000004</v>
      </c>
      <c r="F206" s="124">
        <f t="shared" si="6"/>
        <v>2790.7537399999992</v>
      </c>
    </row>
    <row r="207" spans="1:6" ht="18.75" x14ac:dyDescent="0.3">
      <c r="A207" s="252"/>
      <c r="B207" s="121" t="s">
        <v>338</v>
      </c>
      <c r="C207" s="122"/>
      <c r="D207" s="123">
        <v>965.6</v>
      </c>
      <c r="E207" s="123">
        <f>11.5</f>
        <v>11.5</v>
      </c>
      <c r="F207" s="124">
        <f t="shared" si="6"/>
        <v>977.1</v>
      </c>
    </row>
    <row r="208" spans="1:6" ht="18.75" x14ac:dyDescent="0.3">
      <c r="A208" s="252"/>
      <c r="B208" s="121" t="s">
        <v>379</v>
      </c>
      <c r="C208" s="122"/>
      <c r="D208" s="123">
        <v>7928</v>
      </c>
      <c r="E208" s="123">
        <f>-98-41.7+41.7</f>
        <v>-97.999999999999986</v>
      </c>
      <c r="F208" s="124">
        <f t="shared" ref="F208" si="8">SUM(D208:E208)</f>
        <v>7830</v>
      </c>
    </row>
    <row r="209" spans="1:6" ht="18.75" x14ac:dyDescent="0.3">
      <c r="A209" s="252"/>
      <c r="B209" s="121" t="s">
        <v>561</v>
      </c>
      <c r="C209" s="122"/>
      <c r="D209" s="123">
        <v>95.1</v>
      </c>
      <c r="E209" s="123">
        <v>1</v>
      </c>
      <c r="F209" s="124">
        <f t="shared" si="6"/>
        <v>96.1</v>
      </c>
    </row>
    <row r="210" spans="1:6" ht="18.75" x14ac:dyDescent="0.3">
      <c r="A210" s="252"/>
      <c r="B210" s="121" t="s">
        <v>512</v>
      </c>
      <c r="C210" s="122"/>
      <c r="D210" s="123">
        <v>69.2</v>
      </c>
      <c r="E210" s="123">
        <v>-0.5</v>
      </c>
      <c r="F210" s="124">
        <f t="shared" si="6"/>
        <v>68.7</v>
      </c>
    </row>
    <row r="211" spans="1:6" ht="18.75" x14ac:dyDescent="0.3">
      <c r="A211" s="252"/>
      <c r="B211" s="121" t="s">
        <v>485</v>
      </c>
      <c r="C211" s="122"/>
      <c r="D211" s="123">
        <v>21525.8</v>
      </c>
      <c r="E211" s="123">
        <f>-127-215+212.9</f>
        <v>-129.1</v>
      </c>
      <c r="F211" s="124">
        <f t="shared" si="6"/>
        <v>21396.7</v>
      </c>
    </row>
    <row r="212" spans="1:6" ht="18.75" x14ac:dyDescent="0.3">
      <c r="A212" s="252"/>
      <c r="B212" s="121" t="s">
        <v>543</v>
      </c>
      <c r="C212" s="122"/>
      <c r="D212" s="123">
        <v>13130.8</v>
      </c>
      <c r="E212" s="123">
        <v>-4542.8999999999996</v>
      </c>
      <c r="F212" s="124">
        <f t="shared" ref="F212" si="9">SUM(D212:E212)</f>
        <v>8587.9</v>
      </c>
    </row>
    <row r="213" spans="1:6" ht="18.75" x14ac:dyDescent="0.3">
      <c r="A213" s="252"/>
      <c r="B213" s="121" t="s">
        <v>520</v>
      </c>
      <c r="C213" s="122"/>
      <c r="D213" s="123">
        <v>555.6</v>
      </c>
      <c r="E213" s="123">
        <v>-555.6</v>
      </c>
      <c r="F213" s="124">
        <f t="shared" si="6"/>
        <v>0</v>
      </c>
    </row>
    <row r="214" spans="1:6" ht="18.75" x14ac:dyDescent="0.3">
      <c r="A214" s="252"/>
      <c r="B214" s="121" t="s">
        <v>484</v>
      </c>
      <c r="C214" s="122"/>
      <c r="D214" s="123">
        <v>3704.1</v>
      </c>
      <c r="E214" s="123">
        <f>-0.5-43.2+43.2</f>
        <v>-0.5</v>
      </c>
      <c r="F214" s="124">
        <f t="shared" ref="F214" si="10">SUM(D214:E214)</f>
        <v>3703.6</v>
      </c>
    </row>
    <row r="215" spans="1:6" ht="18.75" x14ac:dyDescent="0.3">
      <c r="A215" s="252"/>
      <c r="B215" s="121" t="s">
        <v>377</v>
      </c>
      <c r="C215" s="122"/>
      <c r="D215" s="123">
        <v>1160.5999999999999</v>
      </c>
      <c r="E215" s="123">
        <f>1.1+30-39.1</f>
        <v>-8</v>
      </c>
      <c r="F215" s="124">
        <f t="shared" si="6"/>
        <v>1152.5999999999999</v>
      </c>
    </row>
    <row r="216" spans="1:6" ht="18.75" x14ac:dyDescent="0.3">
      <c r="A216" s="252"/>
      <c r="B216" s="121" t="s">
        <v>378</v>
      </c>
      <c r="C216" s="122"/>
      <c r="D216" s="123">
        <v>11.8</v>
      </c>
      <c r="E216" s="123">
        <f>-1.1-0.1</f>
        <v>-1.2000000000000002</v>
      </c>
      <c r="F216" s="124">
        <f t="shared" si="6"/>
        <v>10.600000000000001</v>
      </c>
    </row>
    <row r="217" spans="1:6" ht="18.75" x14ac:dyDescent="0.3">
      <c r="A217" s="252"/>
      <c r="B217" s="121" t="s">
        <v>490</v>
      </c>
      <c r="C217" s="122"/>
      <c r="D217" s="123">
        <v>6585.1</v>
      </c>
      <c r="E217" s="123">
        <f>44.7+103-3+255.9+6</f>
        <v>406.6</v>
      </c>
      <c r="F217" s="124">
        <f t="shared" ref="F217" si="11">SUM(D217:E217)</f>
        <v>6991.7000000000007</v>
      </c>
    </row>
    <row r="218" spans="1:6" ht="18.75" x14ac:dyDescent="0.3">
      <c r="A218" s="252"/>
      <c r="B218" s="121" t="s">
        <v>293</v>
      </c>
      <c r="C218" s="122"/>
      <c r="D218" s="123">
        <v>3801.6</v>
      </c>
      <c r="E218" s="123">
        <f>-238-44.7-479.9-29.8</f>
        <v>-792.39999999999986</v>
      </c>
      <c r="F218" s="124">
        <f t="shared" si="6"/>
        <v>3009.2</v>
      </c>
    </row>
    <row r="219" spans="1:6" ht="18.75" x14ac:dyDescent="0.3">
      <c r="A219" s="252"/>
      <c r="B219" s="121" t="s">
        <v>334</v>
      </c>
      <c r="C219" s="122"/>
      <c r="D219" s="123">
        <v>419.2</v>
      </c>
      <c r="E219" s="123">
        <f>238-3-87</f>
        <v>148</v>
      </c>
      <c r="F219" s="124">
        <f t="shared" si="6"/>
        <v>567.20000000000005</v>
      </c>
    </row>
    <row r="220" spans="1:6" ht="18.75" x14ac:dyDescent="0.3">
      <c r="A220" s="252"/>
      <c r="B220" s="121" t="s">
        <v>351</v>
      </c>
      <c r="C220" s="122"/>
      <c r="D220" s="123">
        <v>137.19999999999999</v>
      </c>
      <c r="E220" s="123">
        <v>11.5</v>
      </c>
      <c r="F220" s="124">
        <f t="shared" si="6"/>
        <v>148.69999999999999</v>
      </c>
    </row>
    <row r="221" spans="1:6" ht="18.75" x14ac:dyDescent="0.3">
      <c r="A221" s="252"/>
      <c r="B221" s="121" t="s">
        <v>352</v>
      </c>
      <c r="C221" s="122"/>
      <c r="D221" s="123">
        <v>11.5</v>
      </c>
      <c r="E221" s="123">
        <v>-11.5</v>
      </c>
      <c r="F221" s="124">
        <f t="shared" si="6"/>
        <v>0</v>
      </c>
    </row>
    <row r="222" spans="1:6" ht="18.75" x14ac:dyDescent="0.3">
      <c r="A222" s="252"/>
      <c r="B222" s="121" t="s">
        <v>361</v>
      </c>
      <c r="C222" s="122"/>
      <c r="D222" s="123">
        <v>5329.7</v>
      </c>
      <c r="E222" s="155">
        <v>-288.42313999999999</v>
      </c>
      <c r="F222" s="124">
        <f t="shared" si="6"/>
        <v>5041.2768599999999</v>
      </c>
    </row>
    <row r="223" spans="1:6" ht="18.75" x14ac:dyDescent="0.3">
      <c r="A223" s="252"/>
      <c r="B223" s="121" t="s">
        <v>364</v>
      </c>
      <c r="C223" s="122"/>
      <c r="D223" s="123">
        <v>4223.3</v>
      </c>
      <c r="E223" s="123">
        <v>-699.1</v>
      </c>
      <c r="F223" s="124">
        <f t="shared" si="6"/>
        <v>3524.2000000000003</v>
      </c>
    </row>
    <row r="224" spans="1:6" ht="18.75" x14ac:dyDescent="0.3">
      <c r="A224" s="251" t="s">
        <v>280</v>
      </c>
      <c r="B224" s="121" t="s">
        <v>281</v>
      </c>
      <c r="C224" s="122"/>
      <c r="D224" s="123">
        <v>1391.6</v>
      </c>
      <c r="E224" s="123">
        <f>-1.8-4.3</f>
        <v>-6.1</v>
      </c>
      <c r="F224" s="124">
        <f t="shared" si="6"/>
        <v>1385.5</v>
      </c>
    </row>
    <row r="225" spans="1:6" ht="18.75" x14ac:dyDescent="0.3">
      <c r="A225" s="252"/>
      <c r="B225" s="121" t="s">
        <v>354</v>
      </c>
      <c r="C225" s="122"/>
      <c r="D225" s="123">
        <v>387</v>
      </c>
      <c r="E225" s="123">
        <f>2.2-19.6</f>
        <v>-17.400000000000002</v>
      </c>
      <c r="F225" s="124">
        <f t="shared" si="6"/>
        <v>369.6</v>
      </c>
    </row>
    <row r="226" spans="1:6" ht="18.75" x14ac:dyDescent="0.3">
      <c r="A226" s="253"/>
      <c r="B226" s="121" t="s">
        <v>355</v>
      </c>
      <c r="C226" s="122"/>
      <c r="D226" s="123">
        <v>0.4</v>
      </c>
      <c r="E226" s="123">
        <v>-0.4</v>
      </c>
      <c r="F226" s="124">
        <f t="shared" si="6"/>
        <v>0</v>
      </c>
    </row>
    <row r="227" spans="1:6" ht="18.75" x14ac:dyDescent="0.3">
      <c r="A227" s="251" t="s">
        <v>268</v>
      </c>
      <c r="B227" s="121" t="s">
        <v>535</v>
      </c>
      <c r="C227" s="122"/>
      <c r="D227" s="123">
        <v>1476.9</v>
      </c>
      <c r="E227" s="123">
        <v>-29.4</v>
      </c>
      <c r="F227" s="124">
        <f t="shared" si="6"/>
        <v>1447.5</v>
      </c>
    </row>
    <row r="228" spans="1:6" ht="18.75" x14ac:dyDescent="0.3">
      <c r="A228" s="252"/>
      <c r="B228" s="121" t="s">
        <v>536</v>
      </c>
      <c r="C228" s="122"/>
      <c r="D228" s="123">
        <v>2695.1</v>
      </c>
      <c r="E228" s="123">
        <v>-1.3</v>
      </c>
      <c r="F228" s="124">
        <f t="shared" si="6"/>
        <v>2693.7999999999997</v>
      </c>
    </row>
    <row r="229" spans="1:6" ht="18.75" x14ac:dyDescent="0.3">
      <c r="A229" s="252"/>
      <c r="B229" s="121" t="s">
        <v>537</v>
      </c>
      <c r="C229" s="122"/>
      <c r="D229" s="123">
        <v>2482.1999999999998</v>
      </c>
      <c r="E229" s="123">
        <v>-9.9</v>
      </c>
      <c r="F229" s="124">
        <f t="shared" si="6"/>
        <v>2472.2999999999997</v>
      </c>
    </row>
    <row r="230" spans="1:6" ht="18.75" x14ac:dyDescent="0.3">
      <c r="A230" s="252"/>
      <c r="B230" s="121" t="s">
        <v>538</v>
      </c>
      <c r="C230" s="122"/>
      <c r="D230" s="123">
        <v>400.6</v>
      </c>
      <c r="E230" s="123">
        <v>-21.7</v>
      </c>
      <c r="F230" s="124">
        <f t="shared" si="6"/>
        <v>378.90000000000003</v>
      </c>
    </row>
    <row r="231" spans="1:6" ht="18.75" x14ac:dyDescent="0.3">
      <c r="A231" s="252"/>
      <c r="B231" s="121" t="s">
        <v>309</v>
      </c>
      <c r="C231" s="122"/>
      <c r="D231" s="123">
        <v>0</v>
      </c>
      <c r="E231" s="123">
        <f>4.95+0.75</f>
        <v>5.7</v>
      </c>
      <c r="F231" s="124">
        <f t="shared" si="6"/>
        <v>5.7</v>
      </c>
    </row>
    <row r="232" spans="1:6" ht="18.75" x14ac:dyDescent="0.3">
      <c r="A232" s="253"/>
      <c r="B232" s="121" t="s">
        <v>310</v>
      </c>
      <c r="C232" s="122"/>
      <c r="D232" s="123">
        <v>103.5</v>
      </c>
      <c r="E232" s="123">
        <f>-4.95-1.246-0.75</f>
        <v>-6.9459999999999997</v>
      </c>
      <c r="F232" s="124">
        <f t="shared" si="6"/>
        <v>96.554000000000002</v>
      </c>
    </row>
    <row r="233" spans="1:6" ht="18.75" x14ac:dyDescent="0.3">
      <c r="A233" s="251" t="s">
        <v>34</v>
      </c>
      <c r="B233" s="121" t="s">
        <v>356</v>
      </c>
      <c r="C233" s="122"/>
      <c r="D233" s="123">
        <v>1000</v>
      </c>
      <c r="E233" s="123">
        <v>-500</v>
      </c>
      <c r="F233" s="124">
        <f t="shared" si="6"/>
        <v>500</v>
      </c>
    </row>
    <row r="234" spans="1:6" ht="18.75" x14ac:dyDescent="0.3">
      <c r="A234" s="252"/>
      <c r="B234" s="121" t="s">
        <v>317</v>
      </c>
      <c r="C234" s="122"/>
      <c r="D234" s="123">
        <v>700</v>
      </c>
      <c r="E234" s="123">
        <v>-670</v>
      </c>
      <c r="F234" s="124">
        <f t="shared" si="6"/>
        <v>30</v>
      </c>
    </row>
    <row r="235" spans="1:6" ht="18.75" x14ac:dyDescent="0.3">
      <c r="A235" s="252"/>
      <c r="B235" s="121" t="s">
        <v>318</v>
      </c>
      <c r="C235" s="122"/>
      <c r="D235" s="123">
        <v>600</v>
      </c>
      <c r="E235" s="123">
        <f>670+15+500+350</f>
        <v>1535</v>
      </c>
      <c r="F235" s="124">
        <f t="shared" si="6"/>
        <v>2135</v>
      </c>
    </row>
    <row r="236" spans="1:6" ht="18.75" x14ac:dyDescent="0.3">
      <c r="A236" s="252"/>
      <c r="B236" s="121" t="s">
        <v>330</v>
      </c>
      <c r="C236" s="122"/>
      <c r="D236" s="123">
        <v>1000</v>
      </c>
      <c r="E236" s="123">
        <f>-300-70</f>
        <v>-370</v>
      </c>
      <c r="F236" s="124">
        <f t="shared" si="6"/>
        <v>630</v>
      </c>
    </row>
    <row r="237" spans="1:6" ht="18.75" x14ac:dyDescent="0.3">
      <c r="A237" s="252"/>
      <c r="B237" s="121" t="s">
        <v>331</v>
      </c>
      <c r="C237" s="122"/>
      <c r="D237" s="123">
        <v>300</v>
      </c>
      <c r="E237" s="123">
        <f>100</f>
        <v>100</v>
      </c>
      <c r="F237" s="124">
        <f t="shared" si="6"/>
        <v>400</v>
      </c>
    </row>
    <row r="238" spans="1:6" ht="18.75" x14ac:dyDescent="0.3">
      <c r="A238" s="252"/>
      <c r="B238" s="121" t="s">
        <v>332</v>
      </c>
      <c r="C238" s="122"/>
      <c r="D238" s="123">
        <v>900</v>
      </c>
      <c r="E238" s="123">
        <f>135+70</f>
        <v>205</v>
      </c>
      <c r="F238" s="124">
        <f t="shared" si="6"/>
        <v>1105</v>
      </c>
    </row>
    <row r="239" spans="1:6" ht="18.75" x14ac:dyDescent="0.3">
      <c r="A239" s="252"/>
      <c r="B239" s="121" t="s">
        <v>492</v>
      </c>
      <c r="C239" s="122"/>
      <c r="D239" s="123">
        <v>100</v>
      </c>
      <c r="E239" s="123">
        <v>-63</v>
      </c>
      <c r="F239" s="124">
        <f t="shared" si="6"/>
        <v>37</v>
      </c>
    </row>
    <row r="240" spans="1:6" ht="18.75" x14ac:dyDescent="0.3">
      <c r="A240" s="252"/>
      <c r="B240" s="121" t="s">
        <v>493</v>
      </c>
      <c r="C240" s="122"/>
      <c r="D240" s="123">
        <v>21606.2</v>
      </c>
      <c r="E240" s="123">
        <f>-173.2-21400</f>
        <v>-21573.200000000001</v>
      </c>
      <c r="F240" s="124">
        <f t="shared" si="6"/>
        <v>33</v>
      </c>
    </row>
    <row r="241" spans="1:6" ht="18.75" x14ac:dyDescent="0.3">
      <c r="A241" s="252"/>
      <c r="B241" s="121" t="s">
        <v>333</v>
      </c>
      <c r="C241" s="122"/>
      <c r="D241" s="123">
        <v>1281.0999999999999</v>
      </c>
      <c r="E241" s="123">
        <v>50</v>
      </c>
      <c r="F241" s="124">
        <f t="shared" ref="F241:F242" si="12">SUM(D241:E241)</f>
        <v>1331.1</v>
      </c>
    </row>
    <row r="242" spans="1:6" ht="18.75" x14ac:dyDescent="0.3">
      <c r="A242" s="252"/>
      <c r="B242" s="121" t="s">
        <v>560</v>
      </c>
      <c r="C242" s="122"/>
      <c r="D242" s="123">
        <v>6538.3</v>
      </c>
      <c r="E242" s="123">
        <v>-113.8</v>
      </c>
      <c r="F242" s="124">
        <f t="shared" si="12"/>
        <v>6424.5</v>
      </c>
    </row>
    <row r="243" spans="1:6" ht="18.75" x14ac:dyDescent="0.3">
      <c r="A243" s="253"/>
      <c r="B243" s="121" t="s">
        <v>529</v>
      </c>
      <c r="C243" s="122"/>
      <c r="D243" s="123">
        <v>30.7</v>
      </c>
      <c r="E243" s="123">
        <v>-30.7</v>
      </c>
      <c r="F243" s="124">
        <f t="shared" si="6"/>
        <v>0</v>
      </c>
    </row>
    <row r="244" spans="1:6" ht="18.75" x14ac:dyDescent="0.3">
      <c r="A244" s="251" t="s">
        <v>8</v>
      </c>
      <c r="B244" s="121" t="s">
        <v>312</v>
      </c>
      <c r="C244" s="122"/>
      <c r="D244" s="123">
        <v>0</v>
      </c>
      <c r="E244" s="123">
        <v>38.887430000000002</v>
      </c>
      <c r="F244" s="124">
        <f t="shared" ref="F244:F266" si="13">SUM(D244:E244)</f>
        <v>38.887430000000002</v>
      </c>
    </row>
    <row r="245" spans="1:6" ht="18.75" x14ac:dyDescent="0.3">
      <c r="A245" s="252"/>
      <c r="B245" s="121" t="s">
        <v>313</v>
      </c>
      <c r="C245" s="122"/>
      <c r="D245" s="123">
        <v>0</v>
      </c>
      <c r="E245" s="123">
        <v>11.11257</v>
      </c>
      <c r="F245" s="124">
        <f t="shared" si="13"/>
        <v>11.11257</v>
      </c>
    </row>
    <row r="246" spans="1:6" ht="18.75" x14ac:dyDescent="0.3">
      <c r="A246" s="252"/>
      <c r="B246" s="121" t="s">
        <v>394</v>
      </c>
      <c r="C246" s="122"/>
      <c r="D246" s="123">
        <v>24090.6</v>
      </c>
      <c r="E246" s="123">
        <f>-0.7+50</f>
        <v>49.3</v>
      </c>
      <c r="F246" s="124">
        <f t="shared" si="13"/>
        <v>24139.899999999998</v>
      </c>
    </row>
    <row r="247" spans="1:6" ht="18.75" x14ac:dyDescent="0.3">
      <c r="A247" s="252"/>
      <c r="B247" s="121" t="s">
        <v>276</v>
      </c>
      <c r="C247" s="122"/>
      <c r="D247" s="123">
        <v>15993.1</v>
      </c>
      <c r="E247" s="123">
        <f>-434.6+22.1+27-7.9+48-1132+11.4-222.5+16.5+79.5+25.2+76.1+2.1-0.9-10.4</f>
        <v>-1500.4000000000003</v>
      </c>
      <c r="F247" s="124">
        <f t="shared" si="13"/>
        <v>14492.7</v>
      </c>
    </row>
    <row r="248" spans="1:6" ht="18.75" x14ac:dyDescent="0.3">
      <c r="A248" s="252"/>
      <c r="B248" s="121" t="s">
        <v>277</v>
      </c>
      <c r="C248" s="122"/>
      <c r="D248" s="123">
        <v>169045.8</v>
      </c>
      <c r="E248" s="123">
        <f>212.9-22.1-27-48+1216.5-103.9-579.9+520+210.4+82.7+50.9-195.6+837.6-264.2+35.75+171.7+10.4</f>
        <v>2108.1500000000005</v>
      </c>
      <c r="F248" s="124">
        <f t="shared" si="13"/>
        <v>171153.94999999998</v>
      </c>
    </row>
    <row r="249" spans="1:6" ht="18.75" x14ac:dyDescent="0.3">
      <c r="A249" s="252"/>
      <c r="B249" s="121" t="s">
        <v>275</v>
      </c>
      <c r="C249" s="122"/>
      <c r="D249" s="123">
        <v>168.6</v>
      </c>
      <c r="E249" s="123">
        <f>6.9+2.2+90.1-0.3</f>
        <v>98.899999999999991</v>
      </c>
      <c r="F249" s="124">
        <f t="shared" si="13"/>
        <v>267.5</v>
      </c>
    </row>
    <row r="250" spans="1:6" ht="18.75" x14ac:dyDescent="0.3">
      <c r="A250" s="252"/>
      <c r="B250" s="121" t="s">
        <v>260</v>
      </c>
      <c r="C250" s="122"/>
      <c r="D250" s="123">
        <v>10283.5</v>
      </c>
      <c r="E250" s="123">
        <f>-12.4-62.3-384.6+101.9-16.4-40.6+110.4-85.9</f>
        <v>-389.9</v>
      </c>
      <c r="F250" s="124">
        <f t="shared" si="13"/>
        <v>9893.6</v>
      </c>
    </row>
    <row r="251" spans="1:6" ht="18.75" x14ac:dyDescent="0.3">
      <c r="A251" s="252"/>
      <c r="B251" s="121" t="s">
        <v>397</v>
      </c>
      <c r="C251" s="122"/>
      <c r="D251" s="123">
        <v>525.6</v>
      </c>
      <c r="E251" s="123">
        <f>3.5-0.3-0.2</f>
        <v>3</v>
      </c>
      <c r="F251" s="124">
        <f t="shared" si="13"/>
        <v>528.6</v>
      </c>
    </row>
    <row r="252" spans="1:6" ht="18.75" x14ac:dyDescent="0.3">
      <c r="A252" s="252"/>
      <c r="B252" s="121" t="s">
        <v>278</v>
      </c>
      <c r="C252" s="122"/>
      <c r="D252" s="123">
        <v>73562.5</v>
      </c>
      <c r="E252" s="123">
        <f>409.4+137-17.6+455.3-174.6+25.1+12.2+10.4-2.5-35.8-171.7+3124.4+1700</f>
        <v>5471.6</v>
      </c>
      <c r="F252" s="124">
        <f t="shared" si="13"/>
        <v>79034.100000000006</v>
      </c>
    </row>
    <row r="253" spans="1:6" ht="18.75" x14ac:dyDescent="0.3">
      <c r="A253" s="252"/>
      <c r="B253" s="121" t="s">
        <v>373</v>
      </c>
      <c r="C253" s="122"/>
      <c r="D253" s="123">
        <v>170.4</v>
      </c>
      <c r="E253" s="123">
        <f>7.9+14.6</f>
        <v>22.5</v>
      </c>
      <c r="F253" s="124">
        <f t="shared" si="13"/>
        <v>192.9</v>
      </c>
    </row>
    <row r="254" spans="1:6" ht="18.75" x14ac:dyDescent="0.3">
      <c r="A254" s="252"/>
      <c r="B254" s="121" t="s">
        <v>396</v>
      </c>
      <c r="C254" s="122"/>
      <c r="D254" s="123">
        <v>32971.199999999997</v>
      </c>
      <c r="E254" s="123">
        <f>-7.2-0.0405</f>
        <v>-7.2404999999999999</v>
      </c>
      <c r="F254" s="124">
        <f t="shared" si="13"/>
        <v>32963.959499999997</v>
      </c>
    </row>
    <row r="255" spans="1:6" ht="18.75" x14ac:dyDescent="0.3">
      <c r="A255" s="252"/>
      <c r="B255" s="121" t="s">
        <v>39</v>
      </c>
      <c r="C255" s="122"/>
      <c r="D255" s="123">
        <v>12028.3</v>
      </c>
      <c r="E255" s="123">
        <f>31.1+3.72875</f>
        <v>34.828749999999999</v>
      </c>
      <c r="F255" s="124">
        <f t="shared" si="13"/>
        <v>12063.12875</v>
      </c>
    </row>
    <row r="256" spans="1:6" ht="18.75" x14ac:dyDescent="0.3">
      <c r="A256" s="252"/>
      <c r="B256" s="121" t="s">
        <v>183</v>
      </c>
      <c r="C256" s="122"/>
      <c r="D256" s="123">
        <v>1581.8</v>
      </c>
      <c r="E256" s="123">
        <f>-23.9-3.68825</f>
        <v>-27.588249999999999</v>
      </c>
      <c r="F256" s="124">
        <f t="shared" si="13"/>
        <v>1554.2117499999999</v>
      </c>
    </row>
    <row r="257" spans="1:6" ht="18.75" x14ac:dyDescent="0.3">
      <c r="A257" s="252"/>
      <c r="B257" s="121" t="s">
        <v>259</v>
      </c>
      <c r="C257" s="122"/>
      <c r="D257" s="123">
        <v>140514.5</v>
      </c>
      <c r="E257" s="123">
        <f>5.8-229.6-23.2+22.7-92.2+40+9.1-54.1</f>
        <v>-321.5</v>
      </c>
      <c r="F257" s="124">
        <f t="shared" si="13"/>
        <v>140193</v>
      </c>
    </row>
    <row r="258" spans="1:6" ht="18.75" x14ac:dyDescent="0.3">
      <c r="A258" s="252"/>
      <c r="B258" s="121" t="s">
        <v>398</v>
      </c>
      <c r="C258" s="122"/>
      <c r="D258" s="123">
        <v>5283.8</v>
      </c>
      <c r="E258" s="123">
        <f>275.3+127.9-107.5-0.1</f>
        <v>295.60000000000002</v>
      </c>
      <c r="F258" s="124">
        <f t="shared" si="13"/>
        <v>5579.4000000000005</v>
      </c>
    </row>
    <row r="259" spans="1:6" ht="18.75" x14ac:dyDescent="0.3">
      <c r="A259" s="252"/>
      <c r="B259" s="121" t="s">
        <v>504</v>
      </c>
      <c r="C259" s="122"/>
      <c r="D259" s="123">
        <v>3975.9</v>
      </c>
      <c r="E259" s="123">
        <v>-18.600000000000001</v>
      </c>
      <c r="F259" s="124">
        <f t="shared" si="13"/>
        <v>3957.3</v>
      </c>
    </row>
    <row r="260" spans="1:6" ht="18.75" x14ac:dyDescent="0.3">
      <c r="A260" s="252"/>
      <c r="B260" s="125" t="s">
        <v>262</v>
      </c>
      <c r="C260" s="122"/>
      <c r="D260" s="123">
        <v>22362.9</v>
      </c>
      <c r="E260" s="123">
        <f>-0.6-95.4-0.3-30.1-38+36.3-0.5</f>
        <v>-128.60000000000002</v>
      </c>
      <c r="F260" s="124">
        <f t="shared" si="13"/>
        <v>22234.300000000003</v>
      </c>
    </row>
    <row r="261" spans="1:6" ht="18.75" x14ac:dyDescent="0.3">
      <c r="A261" s="252"/>
      <c r="B261" s="121" t="s">
        <v>321</v>
      </c>
      <c r="C261" s="122"/>
      <c r="D261" s="123">
        <v>19624.7</v>
      </c>
      <c r="E261" s="123">
        <f>-11.9+12+35.7</f>
        <v>35.800000000000004</v>
      </c>
      <c r="F261" s="124">
        <f t="shared" ref="F261" si="14">SUM(D261:E261)</f>
        <v>19660.5</v>
      </c>
    </row>
    <row r="262" spans="1:6" ht="18.75" x14ac:dyDescent="0.3">
      <c r="A262" s="252"/>
      <c r="B262" s="121" t="s">
        <v>263</v>
      </c>
      <c r="C262" s="122"/>
      <c r="D262" s="123">
        <v>2279.5</v>
      </c>
      <c r="E262" s="123">
        <f>71.5+228.9+148.7-20.4-0.4+9.5</f>
        <v>437.8</v>
      </c>
      <c r="F262" s="124">
        <f t="shared" ref="F262" si="15">SUM(D262:E262)</f>
        <v>2717.3</v>
      </c>
    </row>
    <row r="263" spans="1:6" ht="18.75" x14ac:dyDescent="0.3">
      <c r="A263" s="252"/>
      <c r="B263" s="121" t="s">
        <v>261</v>
      </c>
      <c r="C263" s="122"/>
      <c r="D263" s="123">
        <v>24318.9</v>
      </c>
      <c r="E263" s="123">
        <f>-0.2-127.3+0.6-18.5-35.7-38.5+5.4-0.7+0.05-9.5</f>
        <v>-224.35</v>
      </c>
      <c r="F263" s="124">
        <f t="shared" ref="F263" si="16">SUM(D263:E263)</f>
        <v>24094.550000000003</v>
      </c>
    </row>
    <row r="264" spans="1:6" ht="18.75" x14ac:dyDescent="0.3">
      <c r="A264" s="252"/>
      <c r="B264" s="121" t="s">
        <v>322</v>
      </c>
      <c r="C264" s="122"/>
      <c r="D264" s="123">
        <v>83.2</v>
      </c>
      <c r="E264" s="123">
        <f>-4.5-0.1</f>
        <v>-4.5999999999999996</v>
      </c>
      <c r="F264" s="124">
        <f t="shared" si="13"/>
        <v>78.600000000000009</v>
      </c>
    </row>
    <row r="265" spans="1:6" ht="18.75" x14ac:dyDescent="0.3">
      <c r="A265" s="252"/>
      <c r="B265" s="121" t="s">
        <v>375</v>
      </c>
      <c r="C265" s="122"/>
      <c r="D265" s="123">
        <v>2254.4</v>
      </c>
      <c r="E265" s="123">
        <v>-1.6</v>
      </c>
      <c r="F265" s="124">
        <f t="shared" si="13"/>
        <v>2252.8000000000002</v>
      </c>
    </row>
    <row r="266" spans="1:6" ht="18.75" x14ac:dyDescent="0.3">
      <c r="A266" s="252"/>
      <c r="B266" s="121" t="s">
        <v>376</v>
      </c>
      <c r="C266" s="122"/>
      <c r="D266" s="123">
        <v>350.2</v>
      </c>
      <c r="E266" s="123">
        <v>1.6</v>
      </c>
      <c r="F266" s="124">
        <f t="shared" si="13"/>
        <v>351.8</v>
      </c>
    </row>
    <row r="267" spans="1:6" ht="18.75" x14ac:dyDescent="0.3">
      <c r="A267" s="252"/>
      <c r="B267" s="121" t="s">
        <v>319</v>
      </c>
      <c r="C267" s="122"/>
      <c r="D267" s="123">
        <v>39.6</v>
      </c>
      <c r="E267" s="123">
        <f>40.9-8.8</f>
        <v>32.099999999999994</v>
      </c>
      <c r="F267" s="124">
        <f t="shared" ref="F267:F272" si="17">SUM(D267:E267)</f>
        <v>71.699999999999989</v>
      </c>
    </row>
    <row r="268" spans="1:6" ht="18.75" x14ac:dyDescent="0.3">
      <c r="A268" s="252"/>
      <c r="B268" s="121" t="s">
        <v>494</v>
      </c>
      <c r="C268" s="122"/>
      <c r="D268" s="123">
        <v>144</v>
      </c>
      <c r="E268" s="123">
        <v>-0.6</v>
      </c>
      <c r="F268" s="124">
        <f t="shared" ref="F268" si="18">SUM(D268:E268)</f>
        <v>143.4</v>
      </c>
    </row>
    <row r="269" spans="1:6" ht="18.75" x14ac:dyDescent="0.3">
      <c r="A269" s="252"/>
      <c r="B269" s="121" t="s">
        <v>320</v>
      </c>
      <c r="C269" s="122"/>
      <c r="D269" s="123">
        <v>784</v>
      </c>
      <c r="E269" s="123">
        <f>-280.9-48.5</f>
        <v>-329.4</v>
      </c>
      <c r="F269" s="124">
        <f t="shared" si="17"/>
        <v>454.6</v>
      </c>
    </row>
    <row r="270" spans="1:6" ht="18.75" x14ac:dyDescent="0.3">
      <c r="A270" s="252"/>
      <c r="B270" s="121" t="s">
        <v>296</v>
      </c>
      <c r="C270" s="122"/>
      <c r="D270" s="123">
        <v>313.8</v>
      </c>
      <c r="E270" s="123">
        <f>-1.6-1.2-0.1</f>
        <v>-2.9</v>
      </c>
      <c r="F270" s="124">
        <f t="shared" si="17"/>
        <v>310.90000000000003</v>
      </c>
    </row>
    <row r="271" spans="1:6" ht="18.75" x14ac:dyDescent="0.3">
      <c r="A271" s="252"/>
      <c r="B271" s="121" t="s">
        <v>323</v>
      </c>
      <c r="C271" s="122"/>
      <c r="D271" s="123">
        <v>67.5</v>
      </c>
      <c r="E271" s="123">
        <v>47.250230000000002</v>
      </c>
      <c r="F271" s="124">
        <f t="shared" si="17"/>
        <v>114.75023</v>
      </c>
    </row>
    <row r="272" spans="1:6" ht="18.75" x14ac:dyDescent="0.3">
      <c r="A272" s="253"/>
      <c r="B272" s="121" t="s">
        <v>324</v>
      </c>
      <c r="C272" s="122"/>
      <c r="D272" s="123">
        <v>3909.5</v>
      </c>
      <c r="E272" s="123">
        <v>-47.250230000000002</v>
      </c>
      <c r="F272" s="124">
        <f t="shared" si="17"/>
        <v>3862.2497699999999</v>
      </c>
    </row>
    <row r="273" spans="1:6" ht="18.75" x14ac:dyDescent="0.3">
      <c r="A273" s="251" t="s">
        <v>14</v>
      </c>
      <c r="B273" s="121" t="s">
        <v>314</v>
      </c>
      <c r="C273" s="122"/>
      <c r="D273" s="123">
        <v>0</v>
      </c>
      <c r="E273" s="123">
        <v>30</v>
      </c>
      <c r="F273" s="124">
        <f t="shared" si="6"/>
        <v>30</v>
      </c>
    </row>
    <row r="274" spans="1:6" ht="18.75" x14ac:dyDescent="0.3">
      <c r="A274" s="252"/>
      <c r="B274" s="121" t="s">
        <v>294</v>
      </c>
      <c r="C274" s="122"/>
      <c r="D274" s="123">
        <v>30829.9</v>
      </c>
      <c r="E274" s="123">
        <f>422+4.2-47.1-0.1-4.2+8.9</f>
        <v>383.69999999999993</v>
      </c>
      <c r="F274" s="124">
        <f t="shared" si="6"/>
        <v>31213.600000000002</v>
      </c>
    </row>
    <row r="275" spans="1:6" ht="18.75" x14ac:dyDescent="0.3">
      <c r="A275" s="252"/>
      <c r="B275" s="121" t="s">
        <v>267</v>
      </c>
      <c r="C275" s="122"/>
      <c r="D275" s="123">
        <v>8036.7</v>
      </c>
      <c r="E275" s="123">
        <f>-658.9-2524-4742.8-71</f>
        <v>-7996.7000000000007</v>
      </c>
      <c r="F275" s="124">
        <f t="shared" si="6"/>
        <v>39.999999999999091</v>
      </c>
    </row>
    <row r="276" spans="1:6" ht="18.75" x14ac:dyDescent="0.3">
      <c r="A276" s="252"/>
      <c r="B276" s="121" t="s">
        <v>297</v>
      </c>
      <c r="C276" s="122"/>
      <c r="D276" s="123">
        <v>952</v>
      </c>
      <c r="E276" s="123">
        <v>-0.1</v>
      </c>
      <c r="F276" s="124">
        <f t="shared" si="6"/>
        <v>951.9</v>
      </c>
    </row>
    <row r="277" spans="1:6" ht="18.75" x14ac:dyDescent="0.3">
      <c r="A277" s="252"/>
      <c r="B277" s="121" t="s">
        <v>264</v>
      </c>
      <c r="C277" s="122"/>
      <c r="D277" s="123">
        <v>69303.399999999994</v>
      </c>
      <c r="E277" s="123">
        <f>658.9+1500.9+50-97.3-64.5-10.4-80.8-163.7+195.3</f>
        <v>1988.3999999999999</v>
      </c>
      <c r="F277" s="124">
        <f t="shared" ref="F277:F282" si="19">SUM(D277:E277)</f>
        <v>71291.799999999988</v>
      </c>
    </row>
    <row r="278" spans="1:6" ht="18.75" x14ac:dyDescent="0.3">
      <c r="A278" s="252"/>
      <c r="B278" s="121" t="s">
        <v>299</v>
      </c>
      <c r="C278" s="122"/>
      <c r="D278" s="123">
        <v>4576.8999999999996</v>
      </c>
      <c r="E278" s="123">
        <f>92.4-1.9-13.5-1-18.4+3.5+34.7</f>
        <v>95.800000000000011</v>
      </c>
      <c r="F278" s="124">
        <f t="shared" si="19"/>
        <v>4672.7</v>
      </c>
    </row>
    <row r="279" spans="1:6" ht="18.75" x14ac:dyDescent="0.3">
      <c r="A279" s="252"/>
      <c r="B279" s="121" t="s">
        <v>298</v>
      </c>
      <c r="C279" s="122"/>
      <c r="D279" s="123">
        <v>22829.200000000001</v>
      </c>
      <c r="E279" s="123">
        <f>508.7-8.1-12.8+11.5-77.9+22.8</f>
        <v>444.2</v>
      </c>
      <c r="F279" s="124">
        <f t="shared" si="19"/>
        <v>23273.4</v>
      </c>
    </row>
    <row r="280" spans="1:6" ht="18.75" x14ac:dyDescent="0.3">
      <c r="A280" s="252"/>
      <c r="B280" s="121" t="s">
        <v>357</v>
      </c>
      <c r="C280" s="122"/>
      <c r="D280" s="123">
        <v>1061.2</v>
      </c>
      <c r="E280" s="123">
        <v>-2.2999999999999998</v>
      </c>
      <c r="F280" s="124">
        <f t="shared" si="19"/>
        <v>1058.9000000000001</v>
      </c>
    </row>
    <row r="281" spans="1:6" ht="18.75" x14ac:dyDescent="0.3">
      <c r="A281" s="252"/>
      <c r="B281" s="121" t="s">
        <v>301</v>
      </c>
      <c r="C281" s="122"/>
      <c r="D281" s="123">
        <v>88.8</v>
      </c>
      <c r="E281" s="123">
        <f>-0.4+18.4</f>
        <v>18</v>
      </c>
      <c r="F281" s="124">
        <f t="shared" ref="F281" si="20">SUM(D281:E281)</f>
        <v>106.8</v>
      </c>
    </row>
    <row r="282" spans="1:6" ht="18.75" x14ac:dyDescent="0.3">
      <c r="A282" s="252"/>
      <c r="B282" s="121" t="s">
        <v>358</v>
      </c>
      <c r="C282" s="122"/>
      <c r="D282" s="123">
        <v>8.5</v>
      </c>
      <c r="E282" s="123">
        <v>-1.7</v>
      </c>
      <c r="F282" s="124">
        <f t="shared" si="19"/>
        <v>6.8</v>
      </c>
    </row>
    <row r="283" spans="1:6" ht="18.75" x14ac:dyDescent="0.3">
      <c r="A283" s="252"/>
      <c r="B283" s="121" t="s">
        <v>359</v>
      </c>
      <c r="C283" s="122"/>
      <c r="D283" s="123">
        <v>3037.6</v>
      </c>
      <c r="E283" s="123">
        <f>-9.6-14.6</f>
        <v>-24.2</v>
      </c>
      <c r="F283" s="124">
        <f t="shared" ref="F283:F329" si="21">SUM(D283:E283)</f>
        <v>3013.4</v>
      </c>
    </row>
    <row r="284" spans="1:6" ht="18.75" x14ac:dyDescent="0.3">
      <c r="A284" s="253"/>
      <c r="B284" s="121" t="s">
        <v>300</v>
      </c>
      <c r="C284" s="122"/>
      <c r="D284" s="123">
        <v>313.89999999999998</v>
      </c>
      <c r="E284" s="123">
        <f>-2.1+52.6</f>
        <v>50.5</v>
      </c>
      <c r="F284" s="124">
        <f t="shared" si="21"/>
        <v>364.4</v>
      </c>
    </row>
    <row r="285" spans="1:6" ht="18.75" x14ac:dyDescent="0.3">
      <c r="A285" s="251" t="s">
        <v>273</v>
      </c>
      <c r="B285" s="106" t="s">
        <v>286</v>
      </c>
      <c r="C285" s="107"/>
      <c r="D285" s="141">
        <v>20326.400000000001</v>
      </c>
      <c r="E285" s="126">
        <f>-338.5-23.8+21.5-23.9-418.6+246.3+145</f>
        <v>-392</v>
      </c>
      <c r="F285" s="123">
        <f t="shared" ref="F285:F296" si="22">SUM(D285:E285)</f>
        <v>19934.400000000001</v>
      </c>
    </row>
    <row r="286" spans="1:6" ht="18.75" x14ac:dyDescent="0.3">
      <c r="A286" s="252"/>
      <c r="B286" s="106" t="s">
        <v>349</v>
      </c>
      <c r="C286" s="107"/>
      <c r="D286" s="141">
        <v>13</v>
      </c>
      <c r="E286" s="126">
        <v>-4.0999999999999996</v>
      </c>
      <c r="F286" s="123">
        <f t="shared" si="22"/>
        <v>8.9</v>
      </c>
    </row>
    <row r="287" spans="1:6" ht="18.75" x14ac:dyDescent="0.3">
      <c r="A287" s="252"/>
      <c r="B287" s="106" t="s">
        <v>345</v>
      </c>
      <c r="C287" s="107"/>
      <c r="D287" s="141">
        <v>3430.1</v>
      </c>
      <c r="E287" s="126">
        <f>13.9-8.4-4.8+3</f>
        <v>3.7</v>
      </c>
      <c r="F287" s="123">
        <f t="shared" si="22"/>
        <v>3433.7999999999997</v>
      </c>
    </row>
    <row r="288" spans="1:6" ht="18.75" x14ac:dyDescent="0.3">
      <c r="A288" s="252"/>
      <c r="B288" s="106" t="s">
        <v>347</v>
      </c>
      <c r="C288" s="107"/>
      <c r="D288" s="141">
        <v>4137.2</v>
      </c>
      <c r="E288" s="126">
        <v>-4037.2</v>
      </c>
      <c r="F288" s="123">
        <f t="shared" si="22"/>
        <v>100</v>
      </c>
    </row>
    <row r="289" spans="1:6" ht="18.75" x14ac:dyDescent="0.3">
      <c r="A289" s="252"/>
      <c r="B289" s="106" t="s">
        <v>287</v>
      </c>
      <c r="C289" s="107"/>
      <c r="D289" s="141">
        <v>27063.7</v>
      </c>
      <c r="E289" s="126">
        <f>-19.5-60.1-41.2-732+674.5</f>
        <v>-178.29999999999995</v>
      </c>
      <c r="F289" s="123">
        <f t="shared" si="22"/>
        <v>26885.4</v>
      </c>
    </row>
    <row r="290" spans="1:6" ht="18.75" x14ac:dyDescent="0.3">
      <c r="A290" s="252"/>
      <c r="B290" s="106" t="s">
        <v>346</v>
      </c>
      <c r="C290" s="107"/>
      <c r="D290" s="141">
        <v>14904.9</v>
      </c>
      <c r="E290" s="126">
        <f>-518.1-9.6-791.6+653.8</f>
        <v>-665.50000000000023</v>
      </c>
      <c r="F290" s="123">
        <f t="shared" si="22"/>
        <v>14239.4</v>
      </c>
    </row>
    <row r="291" spans="1:6" ht="18.75" x14ac:dyDescent="0.3">
      <c r="A291" s="252"/>
      <c r="B291" s="106" t="s">
        <v>348</v>
      </c>
      <c r="C291" s="107"/>
      <c r="D291" s="141">
        <v>20</v>
      </c>
      <c r="E291" s="126">
        <v>-5</v>
      </c>
      <c r="F291" s="123">
        <f t="shared" si="22"/>
        <v>15</v>
      </c>
    </row>
    <row r="292" spans="1:6" ht="18.75" x14ac:dyDescent="0.3">
      <c r="A292" s="252"/>
      <c r="B292" s="106" t="s">
        <v>526</v>
      </c>
      <c r="C292" s="107"/>
      <c r="D292" s="141">
        <v>281.89999999999998</v>
      </c>
      <c r="E292" s="126">
        <v>-3.5</v>
      </c>
      <c r="F292" s="123">
        <f t="shared" si="22"/>
        <v>278.39999999999998</v>
      </c>
    </row>
    <row r="293" spans="1:6" ht="18.75" x14ac:dyDescent="0.3">
      <c r="A293" s="252"/>
      <c r="B293" s="106" t="s">
        <v>353</v>
      </c>
      <c r="C293" s="107"/>
      <c r="D293" s="141">
        <v>1061.2</v>
      </c>
      <c r="E293" s="126">
        <f>-3.4-12.6+12.6</f>
        <v>-3.4000000000000004</v>
      </c>
      <c r="F293" s="123">
        <f t="shared" ref="F293" si="23">SUM(D293:E293)</f>
        <v>1057.8</v>
      </c>
    </row>
    <row r="294" spans="1:6" ht="18.75" x14ac:dyDescent="0.3">
      <c r="A294" s="253"/>
      <c r="B294" s="106" t="s">
        <v>274</v>
      </c>
      <c r="C294" s="107"/>
      <c r="D294" s="141">
        <v>43.5</v>
      </c>
      <c r="E294" s="126">
        <v>-4.2</v>
      </c>
      <c r="F294" s="123">
        <f t="shared" si="22"/>
        <v>39.299999999999997</v>
      </c>
    </row>
    <row r="295" spans="1:6" ht="18.75" x14ac:dyDescent="0.3">
      <c r="A295" s="251" t="s">
        <v>25</v>
      </c>
      <c r="B295" s="121" t="s">
        <v>315</v>
      </c>
      <c r="C295" s="122"/>
      <c r="D295" s="123">
        <v>0</v>
      </c>
      <c r="E295" s="123">
        <f>107.9016+1.02</f>
        <v>108.9216</v>
      </c>
      <c r="F295" s="123">
        <f t="shared" si="22"/>
        <v>108.9216</v>
      </c>
    </row>
    <row r="296" spans="1:6" ht="18.75" x14ac:dyDescent="0.3">
      <c r="A296" s="252"/>
      <c r="B296" s="121" t="s">
        <v>316</v>
      </c>
      <c r="C296" s="122"/>
      <c r="D296" s="123">
        <v>0</v>
      </c>
      <c r="E296" s="123">
        <f>90.18954+9.2</f>
        <v>99.389539999999997</v>
      </c>
      <c r="F296" s="123">
        <f t="shared" si="22"/>
        <v>99.389539999999997</v>
      </c>
    </row>
    <row r="297" spans="1:6" ht="18.75" x14ac:dyDescent="0.3">
      <c r="A297" s="252"/>
      <c r="B297" s="106" t="s">
        <v>362</v>
      </c>
      <c r="C297" s="107"/>
      <c r="D297" s="126">
        <v>36.299999999999997</v>
      </c>
      <c r="E297" s="126">
        <v>-2.2999999999999998</v>
      </c>
      <c r="F297" s="123">
        <f t="shared" si="21"/>
        <v>34</v>
      </c>
    </row>
    <row r="298" spans="1:6" ht="18.75" x14ac:dyDescent="0.3">
      <c r="A298" s="252"/>
      <c r="B298" s="106" t="s">
        <v>363</v>
      </c>
      <c r="C298" s="107"/>
      <c r="D298" s="126">
        <v>7252.4</v>
      </c>
      <c r="E298" s="126">
        <v>-44.8</v>
      </c>
      <c r="F298" s="123">
        <f t="shared" si="21"/>
        <v>7207.5999999999995</v>
      </c>
    </row>
    <row r="299" spans="1:6" ht="18.75" x14ac:dyDescent="0.3">
      <c r="A299" s="252"/>
      <c r="B299" s="106" t="s">
        <v>381</v>
      </c>
      <c r="C299" s="107"/>
      <c r="D299" s="141">
        <f>F141</f>
        <v>945.52188000000001</v>
      </c>
      <c r="E299" s="126">
        <v>-2.5</v>
      </c>
      <c r="F299" s="123">
        <f t="shared" si="21"/>
        <v>943.02188000000001</v>
      </c>
    </row>
    <row r="300" spans="1:6" ht="18.75" x14ac:dyDescent="0.3">
      <c r="A300" s="252"/>
      <c r="B300" s="106" t="s">
        <v>104</v>
      </c>
      <c r="C300" s="107"/>
      <c r="D300" s="141">
        <f>F142</f>
        <v>93523.47812</v>
      </c>
      <c r="E300" s="126">
        <v>2.5</v>
      </c>
      <c r="F300" s="123">
        <f t="shared" si="21"/>
        <v>93525.97812</v>
      </c>
    </row>
    <row r="301" spans="1:6" ht="18.75" x14ac:dyDescent="0.3">
      <c r="A301" s="252"/>
      <c r="B301" s="106" t="s">
        <v>303</v>
      </c>
      <c r="C301" s="107"/>
      <c r="D301" s="126">
        <v>21151.200000000001</v>
      </c>
      <c r="E301" s="126">
        <f>-70.1+28.3-0.29</f>
        <v>-42.089999999999996</v>
      </c>
      <c r="F301" s="123">
        <f t="shared" ref="F301:F317" si="24">SUM(D301:E301)</f>
        <v>21109.11</v>
      </c>
    </row>
    <row r="302" spans="1:6" ht="18.75" x14ac:dyDescent="0.3">
      <c r="A302" s="252"/>
      <c r="B302" s="106" t="s">
        <v>114</v>
      </c>
      <c r="C302" s="107"/>
      <c r="D302" s="126">
        <v>1108.8</v>
      </c>
      <c r="E302" s="126">
        <f>70.1-28.3+0.29</f>
        <v>42.089999999999996</v>
      </c>
      <c r="F302" s="123">
        <f t="shared" si="24"/>
        <v>1150.8899999999999</v>
      </c>
    </row>
    <row r="303" spans="1:6" ht="18.75" x14ac:dyDescent="0.3">
      <c r="A303" s="254" t="s">
        <v>26</v>
      </c>
      <c r="B303" s="121" t="s">
        <v>311</v>
      </c>
      <c r="C303" s="122"/>
      <c r="D303" s="123">
        <v>0</v>
      </c>
      <c r="E303" s="123">
        <v>34.420999999999999</v>
      </c>
      <c r="F303" s="124">
        <f t="shared" si="24"/>
        <v>34.420999999999999</v>
      </c>
    </row>
    <row r="304" spans="1:6" ht="18.75" x14ac:dyDescent="0.3">
      <c r="A304" s="254"/>
      <c r="B304" s="121" t="s">
        <v>304</v>
      </c>
      <c r="C304" s="122"/>
      <c r="D304" s="123">
        <v>0</v>
      </c>
      <c r="E304" s="123">
        <v>804.02089999999998</v>
      </c>
      <c r="F304" s="124">
        <f t="shared" si="24"/>
        <v>804.02089999999998</v>
      </c>
    </row>
    <row r="305" spans="1:6" ht="18.75" x14ac:dyDescent="0.3">
      <c r="A305" s="254"/>
      <c r="B305" s="121" t="s">
        <v>559</v>
      </c>
      <c r="C305" s="122"/>
      <c r="D305" s="123">
        <v>0</v>
      </c>
      <c r="E305" s="123">
        <v>77.608999999999995</v>
      </c>
      <c r="F305" s="124">
        <f t="shared" si="24"/>
        <v>77.608999999999995</v>
      </c>
    </row>
    <row r="306" spans="1:6" ht="18.75" x14ac:dyDescent="0.3">
      <c r="A306" s="254"/>
      <c r="B306" s="121" t="s">
        <v>340</v>
      </c>
      <c r="C306" s="122"/>
      <c r="D306" s="123">
        <v>92442.1</v>
      </c>
      <c r="E306" s="123">
        <f>-2998.6-3000</f>
        <v>-5998.6</v>
      </c>
      <c r="F306" s="124">
        <f t="shared" si="24"/>
        <v>86443.5</v>
      </c>
    </row>
    <row r="307" spans="1:6" ht="18.75" x14ac:dyDescent="0.3">
      <c r="A307" s="254"/>
      <c r="B307" s="106" t="s">
        <v>271</v>
      </c>
      <c r="C307" s="107"/>
      <c r="D307" s="126">
        <v>98988.6</v>
      </c>
      <c r="E307" s="126">
        <f>225.4-1218.2</f>
        <v>-992.80000000000007</v>
      </c>
      <c r="F307" s="123">
        <f t="shared" ref="F307:F310" si="25">SUM(D307:E307)</f>
        <v>97995.8</v>
      </c>
    </row>
    <row r="308" spans="1:6" ht="18.75" x14ac:dyDescent="0.3">
      <c r="A308" s="254"/>
      <c r="B308" s="106" t="s">
        <v>270</v>
      </c>
      <c r="C308" s="107"/>
      <c r="D308" s="126">
        <v>14334.4</v>
      </c>
      <c r="E308" s="126">
        <f>-500-1241.9-135.9</f>
        <v>-1877.8000000000002</v>
      </c>
      <c r="F308" s="123">
        <f t="shared" si="25"/>
        <v>12456.599999999999</v>
      </c>
    </row>
    <row r="309" spans="1:6" ht="18.75" x14ac:dyDescent="0.3">
      <c r="A309" s="254"/>
      <c r="B309" s="106" t="s">
        <v>500</v>
      </c>
      <c r="C309" s="107"/>
      <c r="D309" s="126">
        <v>5120</v>
      </c>
      <c r="E309" s="126">
        <v>-4640.3</v>
      </c>
      <c r="F309" s="123">
        <f t="shared" si="25"/>
        <v>479.69999999999982</v>
      </c>
    </row>
    <row r="310" spans="1:6" ht="18.75" x14ac:dyDescent="0.3">
      <c r="A310" s="254"/>
      <c r="B310" s="106" t="s">
        <v>501</v>
      </c>
      <c r="C310" s="107"/>
      <c r="D310" s="126">
        <v>775</v>
      </c>
      <c r="E310" s="126">
        <v>-775</v>
      </c>
      <c r="F310" s="123">
        <f t="shared" si="25"/>
        <v>0</v>
      </c>
    </row>
    <row r="311" spans="1:6" ht="18.75" x14ac:dyDescent="0.3">
      <c r="A311" s="254"/>
      <c r="B311" s="121" t="s">
        <v>328</v>
      </c>
      <c r="C311" s="122"/>
      <c r="D311" s="123">
        <v>714</v>
      </c>
      <c r="E311" s="123">
        <v>47.4</v>
      </c>
      <c r="F311" s="124">
        <f t="shared" si="24"/>
        <v>761.4</v>
      </c>
    </row>
    <row r="312" spans="1:6" ht="18.75" x14ac:dyDescent="0.3">
      <c r="A312" s="254"/>
      <c r="B312" s="121" t="s">
        <v>329</v>
      </c>
      <c r="C312" s="122"/>
      <c r="D312" s="123">
        <v>3107</v>
      </c>
      <c r="E312" s="123">
        <v>-2963.7</v>
      </c>
      <c r="F312" s="124">
        <f t="shared" si="24"/>
        <v>143.30000000000018</v>
      </c>
    </row>
    <row r="313" spans="1:6" ht="18.75" x14ac:dyDescent="0.3">
      <c r="A313" s="254"/>
      <c r="B313" s="106" t="s">
        <v>326</v>
      </c>
      <c r="C313" s="107"/>
      <c r="D313" s="126">
        <v>8708.9</v>
      </c>
      <c r="E313" s="126">
        <f>399.3+132.9</f>
        <v>532.20000000000005</v>
      </c>
      <c r="F313" s="123">
        <f t="shared" si="24"/>
        <v>9241.1</v>
      </c>
    </row>
    <row r="314" spans="1:6" ht="18.75" x14ac:dyDescent="0.3">
      <c r="A314" s="254"/>
      <c r="B314" s="106" t="s">
        <v>341</v>
      </c>
      <c r="C314" s="107"/>
      <c r="D314" s="126">
        <v>152660</v>
      </c>
      <c r="E314" s="126">
        <f>4453.1+11013.7</f>
        <v>15466.800000000001</v>
      </c>
      <c r="F314" s="123">
        <f t="shared" si="24"/>
        <v>168126.8</v>
      </c>
    </row>
    <row r="315" spans="1:6" ht="18.75" x14ac:dyDescent="0.3">
      <c r="A315" s="254"/>
      <c r="B315" s="106" t="s">
        <v>395</v>
      </c>
      <c r="C315" s="107"/>
      <c r="D315" s="126">
        <v>2623.9</v>
      </c>
      <c r="E315" s="126">
        <f>1113.3+72.6</f>
        <v>1185.8999999999999</v>
      </c>
      <c r="F315" s="123">
        <f t="shared" si="24"/>
        <v>3809.8</v>
      </c>
    </row>
    <row r="316" spans="1:6" ht="18.75" x14ac:dyDescent="0.3">
      <c r="A316" s="254"/>
      <c r="B316" s="106" t="s">
        <v>342</v>
      </c>
      <c r="C316" s="107"/>
      <c r="D316" s="126">
        <v>4858.5</v>
      </c>
      <c r="E316" s="126">
        <v>416.5</v>
      </c>
      <c r="F316" s="123">
        <f t="shared" si="24"/>
        <v>5275</v>
      </c>
    </row>
    <row r="317" spans="1:6" ht="18.75" x14ac:dyDescent="0.3">
      <c r="A317" s="254"/>
      <c r="B317" s="106" t="s">
        <v>272</v>
      </c>
      <c r="C317" s="107"/>
      <c r="D317" s="126">
        <v>1770</v>
      </c>
      <c r="E317" s="126">
        <v>-26.6</v>
      </c>
      <c r="F317" s="123">
        <f t="shared" si="24"/>
        <v>1743.4</v>
      </c>
    </row>
    <row r="318" spans="1:6" ht="18.75" x14ac:dyDescent="0.3">
      <c r="A318" s="254"/>
      <c r="B318" s="106" t="s">
        <v>344</v>
      </c>
      <c r="C318" s="107"/>
      <c r="D318" s="126">
        <v>225.4</v>
      </c>
      <c r="E318" s="126">
        <v>-225.4</v>
      </c>
      <c r="F318" s="123">
        <f t="shared" si="21"/>
        <v>0</v>
      </c>
    </row>
    <row r="319" spans="1:6" ht="18.75" x14ac:dyDescent="0.3">
      <c r="A319" s="254"/>
      <c r="B319" s="106" t="s">
        <v>279</v>
      </c>
      <c r="C319" s="107"/>
      <c r="D319" s="126">
        <v>971.5</v>
      </c>
      <c r="E319" s="126">
        <f>97.7-82</f>
        <v>15.700000000000003</v>
      </c>
      <c r="F319" s="123">
        <f t="shared" si="21"/>
        <v>987.2</v>
      </c>
    </row>
    <row r="320" spans="1:6" ht="18.75" x14ac:dyDescent="0.3">
      <c r="A320" s="254"/>
      <c r="B320" s="106" t="s">
        <v>343</v>
      </c>
      <c r="C320" s="107"/>
      <c r="D320" s="141">
        <v>11890</v>
      </c>
      <c r="E320" s="141">
        <f>500-184.3</f>
        <v>315.7</v>
      </c>
      <c r="F320" s="123">
        <f>D320+E320</f>
        <v>12205.7</v>
      </c>
    </row>
    <row r="321" spans="1:6" s="114" customFormat="1" ht="18.75" customHeight="1" x14ac:dyDescent="0.2">
      <c r="A321" s="254"/>
      <c r="B321" s="106" t="s">
        <v>367</v>
      </c>
      <c r="C321" s="115"/>
      <c r="D321" s="117">
        <f>F160</f>
        <v>15862.172399999999</v>
      </c>
      <c r="E321" s="117">
        <v>-104.15411</v>
      </c>
      <c r="F321" s="117">
        <f>D321+E321</f>
        <v>15758.01829</v>
      </c>
    </row>
    <row r="322" spans="1:6" s="114" customFormat="1" ht="18.75" customHeight="1" x14ac:dyDescent="0.2">
      <c r="A322" s="254"/>
      <c r="B322" s="106" t="s">
        <v>368</v>
      </c>
      <c r="C322" s="115"/>
      <c r="D322" s="117">
        <f>F161</f>
        <v>1718.0787700000001</v>
      </c>
      <c r="E322" s="117">
        <v>-364.65791999999999</v>
      </c>
      <c r="F322" s="117">
        <f t="shared" ref="F322" si="26">D322+E322</f>
        <v>1353.42085</v>
      </c>
    </row>
    <row r="323" spans="1:6" ht="18.75" x14ac:dyDescent="0.3">
      <c r="A323" s="254"/>
      <c r="B323" s="129" t="s">
        <v>547</v>
      </c>
      <c r="C323" s="130"/>
      <c r="D323" s="126">
        <v>7264.9</v>
      </c>
      <c r="E323" s="126">
        <v>258.3</v>
      </c>
      <c r="F323" s="123">
        <f t="shared" ref="F323" si="27">SUM(D323:E323)</f>
        <v>7523.2</v>
      </c>
    </row>
    <row r="324" spans="1:6" ht="18.75" x14ac:dyDescent="0.3">
      <c r="A324" s="254"/>
      <c r="B324" s="129" t="s">
        <v>285</v>
      </c>
      <c r="C324" s="130"/>
      <c r="D324" s="126">
        <v>14209.7</v>
      </c>
      <c r="E324" s="126">
        <f>45-82.5</f>
        <v>-37.5</v>
      </c>
      <c r="F324" s="123">
        <f t="shared" ref="F324" si="28">SUM(D324:E324)</f>
        <v>14172.2</v>
      </c>
    </row>
    <row r="325" spans="1:6" ht="18.75" x14ac:dyDescent="0.3">
      <c r="A325" s="254"/>
      <c r="B325" s="129" t="s">
        <v>509</v>
      </c>
      <c r="C325" s="130"/>
      <c r="D325" s="126">
        <v>4743.3</v>
      </c>
      <c r="E325" s="126">
        <v>-15</v>
      </c>
      <c r="F325" s="123">
        <f t="shared" si="21"/>
        <v>4728.3</v>
      </c>
    </row>
    <row r="326" spans="1:6" ht="18.75" customHeight="1" x14ac:dyDescent="0.3">
      <c r="A326" s="254"/>
      <c r="B326" s="129" t="s">
        <v>510</v>
      </c>
      <c r="C326" s="130"/>
      <c r="D326" s="126">
        <v>515.5</v>
      </c>
      <c r="E326" s="126">
        <v>-16</v>
      </c>
      <c r="F326" s="123">
        <f t="shared" ref="F326:F328" si="29">SUM(D326:E326)</f>
        <v>499.5</v>
      </c>
    </row>
    <row r="327" spans="1:6" ht="18.75" customHeight="1" x14ac:dyDescent="0.3">
      <c r="A327" s="254"/>
      <c r="B327" s="129" t="s">
        <v>545</v>
      </c>
      <c r="C327" s="130"/>
      <c r="D327" s="126">
        <v>814.7</v>
      </c>
      <c r="E327" s="126">
        <v>-31.6</v>
      </c>
      <c r="F327" s="123">
        <f t="shared" si="29"/>
        <v>783.1</v>
      </c>
    </row>
    <row r="328" spans="1:6" ht="18.75" customHeight="1" x14ac:dyDescent="0.3">
      <c r="A328" s="254"/>
      <c r="B328" s="129" t="s">
        <v>508</v>
      </c>
      <c r="C328" s="130"/>
      <c r="D328" s="126">
        <v>2966.5</v>
      </c>
      <c r="E328" s="126">
        <f>244.2-1.9</f>
        <v>242.29999999999998</v>
      </c>
      <c r="F328" s="123">
        <f t="shared" si="29"/>
        <v>3208.8</v>
      </c>
    </row>
    <row r="329" spans="1:6" ht="18.75" customHeight="1" x14ac:dyDescent="0.3">
      <c r="A329" s="254"/>
      <c r="B329" s="129" t="s">
        <v>546</v>
      </c>
      <c r="C329" s="130"/>
      <c r="D329" s="126">
        <v>78.099999999999994</v>
      </c>
      <c r="E329" s="126">
        <v>-6.4</v>
      </c>
      <c r="F329" s="123">
        <f t="shared" si="21"/>
        <v>71.699999999999989</v>
      </c>
    </row>
    <row r="330" spans="1:6" ht="18.75" customHeight="1" x14ac:dyDescent="0.25">
      <c r="A330" s="179"/>
      <c r="B330" s="255" t="s">
        <v>325</v>
      </c>
      <c r="C330" s="256"/>
      <c r="D330" s="256"/>
      <c r="E330" s="256"/>
      <c r="F330" s="257"/>
    </row>
    <row r="331" spans="1:6" ht="18.75" customHeight="1" x14ac:dyDescent="0.3">
      <c r="A331" s="179"/>
      <c r="B331" s="131" t="s">
        <v>326</v>
      </c>
      <c r="C331" s="132"/>
      <c r="D331" s="133">
        <v>1013.6</v>
      </c>
      <c r="E331" s="134">
        <v>-1013.57</v>
      </c>
      <c r="F331" s="135">
        <f>D331+E331</f>
        <v>2.9999999999972715E-2</v>
      </c>
    </row>
    <row r="332" spans="1:6" ht="18.75" customHeight="1" x14ac:dyDescent="0.3">
      <c r="A332" s="179"/>
      <c r="B332" s="131" t="s">
        <v>327</v>
      </c>
      <c r="C332" s="136"/>
      <c r="D332" s="133">
        <v>770</v>
      </c>
      <c r="E332" s="134">
        <v>-770</v>
      </c>
      <c r="F332" s="135">
        <f t="shared" ref="F332:F335" si="30">D332+E332</f>
        <v>0</v>
      </c>
    </row>
    <row r="333" spans="1:6" ht="18.75" customHeight="1" x14ac:dyDescent="0.3">
      <c r="A333" s="179"/>
      <c r="B333" s="131" t="s">
        <v>328</v>
      </c>
      <c r="C333" s="137"/>
      <c r="D333" s="133">
        <v>400</v>
      </c>
      <c r="E333" s="134">
        <v>-400</v>
      </c>
      <c r="F333" s="135">
        <f t="shared" si="30"/>
        <v>0</v>
      </c>
    </row>
    <row r="334" spans="1:6" ht="18.75" customHeight="1" x14ac:dyDescent="0.3">
      <c r="A334" s="179"/>
      <c r="B334" s="131" t="s">
        <v>329</v>
      </c>
      <c r="C334" s="137"/>
      <c r="D334" s="133">
        <v>0</v>
      </c>
      <c r="E334" s="134">
        <v>2964</v>
      </c>
      <c r="F334" s="135">
        <f t="shared" si="30"/>
        <v>2964</v>
      </c>
    </row>
    <row r="335" spans="1:6" ht="18" customHeight="1" x14ac:dyDescent="0.3">
      <c r="A335" s="179"/>
      <c r="B335" s="131" t="s">
        <v>272</v>
      </c>
      <c r="C335" s="132"/>
      <c r="D335" s="138">
        <v>1500</v>
      </c>
      <c r="E335" s="139">
        <v>-780.43</v>
      </c>
      <c r="F335" s="140">
        <f t="shared" si="30"/>
        <v>719.57</v>
      </c>
    </row>
    <row r="336" spans="1:6" ht="17.25" customHeight="1" x14ac:dyDescent="0.35">
      <c r="A336" s="80" t="s">
        <v>6</v>
      </c>
      <c r="B336" s="258"/>
      <c r="C336" s="259"/>
      <c r="D336" s="112" t="s">
        <v>20</v>
      </c>
      <c r="E336" s="154">
        <f>SUM(E192:E329)</f>
        <v>-40137.406590000006</v>
      </c>
      <c r="F336" s="112"/>
    </row>
    <row r="337" spans="1:6" ht="24.75" customHeight="1" x14ac:dyDescent="0.35">
      <c r="A337" s="81"/>
      <c r="B337" s="82"/>
      <c r="C337" s="82"/>
      <c r="D337" s="83"/>
      <c r="E337" s="84"/>
      <c r="F337" s="84"/>
    </row>
    <row r="338" spans="1:6" ht="45.75" customHeight="1" x14ac:dyDescent="0.3">
      <c r="A338" s="260" t="s">
        <v>564</v>
      </c>
      <c r="B338" s="260"/>
      <c r="C338" s="260"/>
      <c r="D338" s="260"/>
      <c r="E338" s="260"/>
      <c r="F338" s="260"/>
    </row>
    <row r="339" spans="1:6" ht="24.75" customHeight="1" x14ac:dyDescent="0.35">
      <c r="A339" s="81"/>
      <c r="B339" s="82"/>
      <c r="C339" s="82"/>
      <c r="D339" s="83"/>
      <c r="E339" s="84"/>
      <c r="F339" s="84"/>
    </row>
    <row r="340" spans="1:6" ht="15.75" customHeight="1" x14ac:dyDescent="0.3">
      <c r="A340" s="180"/>
      <c r="B340" s="86"/>
      <c r="C340" s="180"/>
      <c r="D340" s="180"/>
      <c r="E340" s="180"/>
      <c r="F340" s="87"/>
    </row>
    <row r="341" spans="1:6" ht="18.75" customHeight="1" x14ac:dyDescent="0.3">
      <c r="A341" s="273" t="s">
        <v>66</v>
      </c>
      <c r="B341" s="273"/>
      <c r="C341" s="273"/>
      <c r="D341" s="273"/>
      <c r="E341" s="274" t="s">
        <v>67</v>
      </c>
      <c r="F341" s="274"/>
    </row>
    <row r="342" spans="1:6" ht="19.5" x14ac:dyDescent="0.35">
      <c r="A342" s="81"/>
      <c r="B342" s="82"/>
      <c r="C342" s="82"/>
      <c r="D342" s="83"/>
      <c r="E342" s="84"/>
      <c r="F342" s="83"/>
    </row>
    <row r="343" spans="1:6" x14ac:dyDescent="0.25">
      <c r="B343" s="85"/>
      <c r="E343" s="79" t="s">
        <v>245</v>
      </c>
    </row>
    <row r="344" spans="1:6" x14ac:dyDescent="0.25">
      <c r="F344" s="103"/>
    </row>
  </sheetData>
  <mergeCells count="83">
    <mergeCell ref="A12:F12"/>
    <mergeCell ref="A1:F1"/>
    <mergeCell ref="A2:F2"/>
    <mergeCell ref="A3:F3"/>
    <mergeCell ref="A4:F4"/>
    <mergeCell ref="A5:F5"/>
    <mergeCell ref="A6:C6"/>
    <mergeCell ref="A7:D7"/>
    <mergeCell ref="A8:C8"/>
    <mergeCell ref="A9:E9"/>
    <mergeCell ref="A10:F10"/>
    <mergeCell ref="A11:C11"/>
    <mergeCell ref="A88:F88"/>
    <mergeCell ref="A13:C13"/>
    <mergeCell ref="A15:F15"/>
    <mergeCell ref="A78:F78"/>
    <mergeCell ref="A79:F79"/>
    <mergeCell ref="A80:F80"/>
    <mergeCell ref="A81:F81"/>
    <mergeCell ref="A82:D82"/>
    <mergeCell ref="A83:F83"/>
    <mergeCell ref="A84:F84"/>
    <mergeCell ref="A86:F86"/>
    <mergeCell ref="A87:F87"/>
    <mergeCell ref="A100:F100"/>
    <mergeCell ref="A89:F89"/>
    <mergeCell ref="A90:F90"/>
    <mergeCell ref="A91:F91"/>
    <mergeCell ref="A92:F92"/>
    <mergeCell ref="A93:F93"/>
    <mergeCell ref="A94:F94"/>
    <mergeCell ref="A95:F95"/>
    <mergeCell ref="A96:F96"/>
    <mergeCell ref="A97:F97"/>
    <mergeCell ref="A98:F98"/>
    <mergeCell ref="A99:F99"/>
    <mergeCell ref="A153:A159"/>
    <mergeCell ref="A160:A163"/>
    <mergeCell ref="B164:C164"/>
    <mergeCell ref="A166:F166"/>
    <mergeCell ref="A101:F101"/>
    <mergeCell ref="A102:F102"/>
    <mergeCell ref="A103:F103"/>
    <mergeCell ref="A104:F104"/>
    <mergeCell ref="B106:C106"/>
    <mergeCell ref="A107:A151"/>
    <mergeCell ref="A168:F168"/>
    <mergeCell ref="A169:F169"/>
    <mergeCell ref="A170:F170"/>
    <mergeCell ref="A171:F171"/>
    <mergeCell ref="A172:F172"/>
    <mergeCell ref="A184:F184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81:F181"/>
    <mergeCell ref="A182:F182"/>
    <mergeCell ref="A183:F183"/>
    <mergeCell ref="A273:A284"/>
    <mergeCell ref="A185:F185"/>
    <mergeCell ref="A186:F186"/>
    <mergeCell ref="A187:F187"/>
    <mergeCell ref="A188:F188"/>
    <mergeCell ref="A189:F189"/>
    <mergeCell ref="B191:C191"/>
    <mergeCell ref="A192:A223"/>
    <mergeCell ref="A224:A226"/>
    <mergeCell ref="A227:A232"/>
    <mergeCell ref="A233:A243"/>
    <mergeCell ref="A244:A272"/>
    <mergeCell ref="A341:D341"/>
    <mergeCell ref="E341:F341"/>
    <mergeCell ref="A285:A294"/>
    <mergeCell ref="A295:A302"/>
    <mergeCell ref="A303:A329"/>
    <mergeCell ref="B330:F330"/>
    <mergeCell ref="B336:C336"/>
    <mergeCell ref="A338:F338"/>
  </mergeCells>
  <pageMargins left="0.70866141732283472" right="0.11811023622047245" top="0.55118110236220474" bottom="0.15748031496062992" header="0.31496062992125984" footer="0.31496062992125984"/>
  <pageSetup paperSize="9" scale="72" fitToHeight="11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декабрь </vt:lpstr>
      <vt:lpstr>на сайт</vt:lpstr>
      <vt:lpstr>август!Область_печати</vt:lpstr>
      <vt:lpstr>'декабрь '!Область_печати</vt:lpstr>
      <vt:lpstr>'на сайт'!Область_печати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Александр Хохлов</cp:lastModifiedBy>
  <cp:lastPrinted>2019-01-14T07:10:52Z</cp:lastPrinted>
  <dcterms:created xsi:type="dcterms:W3CDTF">2009-01-26T06:44:36Z</dcterms:created>
  <dcterms:modified xsi:type="dcterms:W3CDTF">2019-04-04T01:20:58Z</dcterms:modified>
</cp:coreProperties>
</file>