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-390" yWindow="855" windowWidth="9900" windowHeight="8370" firstSheet="1" activeTab="1"/>
  </bookViews>
  <sheets>
    <sheet name="август" sheetId="18" state="hidden" r:id="rId1"/>
    <sheet name="ноябрь" sheetId="30" r:id="rId2"/>
    <sheet name="Лист1" sheetId="31" r:id="rId3"/>
  </sheets>
  <definedNames>
    <definedName name="_xlnm.Print_Area" localSheetId="0">август!$A$1:$F$226</definedName>
    <definedName name="_xlnm.Print_Area" localSheetId="2">Лист1!$A$1:$F$17</definedName>
    <definedName name="_xlnm.Print_Area" localSheetId="1">ноябрь!$A$1:$F$290</definedName>
  </definedNames>
  <calcPr calcId="145621"/>
</workbook>
</file>

<file path=xl/calcChain.xml><?xml version="1.0" encoding="utf-8"?>
<calcChain xmlns="http://schemas.openxmlformats.org/spreadsheetml/2006/main">
  <c r="E49" i="30" l="1"/>
  <c r="F282" i="30" l="1"/>
  <c r="E195" i="30"/>
  <c r="E193" i="30"/>
  <c r="E189" i="30"/>
  <c r="E181" i="30"/>
  <c r="E185" i="30"/>
  <c r="E180" i="30"/>
  <c r="E166" i="30"/>
  <c r="E165" i="30"/>
  <c r="E187" i="30"/>
  <c r="E184" i="30"/>
  <c r="E173" i="30"/>
  <c r="E174" i="30"/>
  <c r="E172" i="30"/>
  <c r="F284" i="30"/>
  <c r="G284" i="30" s="1"/>
  <c r="F155" i="30"/>
  <c r="F270" i="30" l="1"/>
  <c r="F145" i="30"/>
  <c r="E225" i="30"/>
  <c r="E224" i="30"/>
  <c r="F276" i="30" l="1"/>
  <c r="E129" i="30"/>
  <c r="E203" i="30" l="1"/>
  <c r="E202" i="30"/>
  <c r="E201" i="30"/>
  <c r="E190" i="30"/>
  <c r="F189" i="30"/>
  <c r="E177" i="30"/>
  <c r="E176" i="30"/>
  <c r="E182" i="30"/>
  <c r="E167" i="30"/>
  <c r="E164" i="30"/>
  <c r="F186" i="30"/>
  <c r="F187" i="30"/>
  <c r="F173" i="30"/>
  <c r="E171" i="30"/>
  <c r="F156" i="30" l="1"/>
  <c r="E162" i="30"/>
  <c r="E159" i="30"/>
  <c r="F157" i="30"/>
  <c r="F154" i="30"/>
  <c r="F153" i="30"/>
  <c r="E211" i="30" l="1"/>
  <c r="E209" i="30"/>
  <c r="E206" i="30"/>
  <c r="F205" i="30"/>
  <c r="E208" i="30"/>
  <c r="E204" i="30"/>
  <c r="F178" i="30"/>
  <c r="F179" i="30"/>
  <c r="D179" i="30"/>
  <c r="E220" i="30"/>
  <c r="E219" i="30"/>
  <c r="E218" i="30"/>
  <c r="F208" i="30" l="1"/>
  <c r="F236" i="30" l="1"/>
  <c r="F237" i="30"/>
  <c r="E235" i="30" l="1"/>
  <c r="F214" i="30" l="1"/>
  <c r="E210" i="30"/>
  <c r="E183" i="30" l="1"/>
  <c r="B270" i="30" l="1"/>
  <c r="F94" i="30" l="1"/>
  <c r="F91" i="30"/>
  <c r="F122" i="30" l="1"/>
  <c r="F123" i="30"/>
  <c r="F217" i="30"/>
  <c r="F200" i="30"/>
  <c r="F235" i="30"/>
  <c r="F233" i="30"/>
  <c r="F196" i="30"/>
  <c r="F197" i="30"/>
  <c r="F64" i="30"/>
  <c r="D229" i="30" s="1"/>
  <c r="F150" i="30" l="1"/>
  <c r="F149" i="30"/>
  <c r="F148" i="30"/>
  <c r="F147" i="30"/>
  <c r="F279" i="30"/>
  <c r="E124" i="30"/>
  <c r="F278" i="30"/>
  <c r="F281" i="30"/>
  <c r="F224" i="30"/>
  <c r="E146" i="30"/>
  <c r="F128" i="30"/>
  <c r="E125" i="30"/>
  <c r="F229" i="30" l="1"/>
  <c r="F230" i="30"/>
  <c r="F231" i="30"/>
  <c r="F256" i="30" l="1"/>
  <c r="F257" i="30"/>
  <c r="F240" i="30"/>
  <c r="E250" i="30"/>
  <c r="F244" i="30"/>
  <c r="F252" i="30"/>
  <c r="F245" i="30"/>
  <c r="E14" i="30" l="1"/>
  <c r="F271" i="30" l="1"/>
  <c r="G285" i="30"/>
  <c r="F129" i="30"/>
  <c r="F127" i="30"/>
  <c r="F121" i="30"/>
  <c r="E120" i="30"/>
  <c r="F126" i="30"/>
  <c r="F134" i="30"/>
  <c r="F135" i="30"/>
  <c r="F136" i="30"/>
  <c r="F137" i="30"/>
  <c r="E158" i="30"/>
  <c r="E215" i="30" l="1"/>
  <c r="E212" i="30"/>
  <c r="F207" i="30"/>
  <c r="F251" i="30" l="1"/>
  <c r="F250" i="30"/>
  <c r="F84" i="30"/>
  <c r="F47" i="30"/>
  <c r="E221" i="30"/>
  <c r="F223" i="30"/>
  <c r="F222" i="30"/>
  <c r="E130" i="30" l="1"/>
  <c r="F198" i="30" l="1"/>
  <c r="F199" i="30"/>
  <c r="F202" i="30"/>
  <c r="F87" i="30" l="1"/>
  <c r="F86" i="30"/>
  <c r="E88" i="30"/>
  <c r="F88" i="30" s="1"/>
  <c r="F89" i="30"/>
  <c r="F201" i="30"/>
  <c r="F203" i="30"/>
  <c r="E170" i="30"/>
  <c r="E169" i="30"/>
  <c r="F234" i="30" l="1"/>
  <c r="F225" i="30"/>
  <c r="F143" i="30" l="1"/>
  <c r="F144" i="30"/>
  <c r="F227" i="30"/>
  <c r="F226" i="30"/>
  <c r="E258" i="30" l="1"/>
  <c r="F232" i="30" l="1"/>
  <c r="F219" i="30" l="1"/>
  <c r="F218" i="30"/>
  <c r="F152" i="30"/>
  <c r="F151" i="30"/>
  <c r="F254" i="30" l="1"/>
  <c r="F253" i="30"/>
  <c r="F212" i="30"/>
  <c r="F213" i="30"/>
  <c r="F210" i="30"/>
  <c r="F44" i="30" l="1"/>
  <c r="F93" i="30" l="1"/>
  <c r="F90" i="30"/>
  <c r="F221" i="30" l="1"/>
  <c r="F220" i="30"/>
  <c r="F188" i="30"/>
  <c r="F169" i="30"/>
  <c r="F125" i="30"/>
  <c r="F124" i="30"/>
  <c r="F211" i="30"/>
  <c r="F209" i="30"/>
  <c r="E66" i="30"/>
  <c r="E95" i="30" s="1"/>
  <c r="F63" i="30"/>
  <c r="D228" i="30" s="1"/>
  <c r="F228" i="30" s="1"/>
  <c r="F62" i="30"/>
  <c r="F82" i="30" l="1"/>
  <c r="F81" i="30"/>
  <c r="F72" i="30"/>
  <c r="F80" i="30"/>
  <c r="F79" i="30"/>
  <c r="F78" i="30"/>
  <c r="F74" i="30"/>
  <c r="F73" i="30"/>
  <c r="F71" i="30"/>
  <c r="F67" i="30"/>
  <c r="F146" i="30"/>
  <c r="F60" i="30" l="1"/>
  <c r="F77" i="30"/>
  <c r="F76" i="30"/>
  <c r="F69" i="30"/>
  <c r="F68" i="30"/>
  <c r="F70" i="30" l="1"/>
  <c r="F75" i="30"/>
  <c r="F83" i="30"/>
  <c r="F246" i="30"/>
  <c r="F247" i="30"/>
  <c r="F239" i="30"/>
  <c r="F238" i="30"/>
  <c r="F61" i="30"/>
  <c r="F59" i="30"/>
  <c r="F51" i="30" l="1"/>
  <c r="D170" i="30" s="1"/>
  <c r="F170" i="30" s="1"/>
  <c r="F50" i="30"/>
  <c r="D168" i="30" s="1"/>
  <c r="F168" i="30" s="1"/>
  <c r="F49" i="30"/>
  <c r="F159" i="30" l="1"/>
  <c r="F160" i="30"/>
  <c r="F161" i="30"/>
  <c r="F162" i="30"/>
  <c r="F163" i="30"/>
  <c r="F158" i="30"/>
  <c r="F52" i="30" l="1"/>
  <c r="F53" i="30"/>
  <c r="F54" i="30"/>
  <c r="D175" i="30" s="1"/>
  <c r="F55" i="30"/>
  <c r="D176" i="30" s="1"/>
  <c r="F176" i="30" s="1"/>
  <c r="F56" i="30"/>
  <c r="D177" i="30" s="1"/>
  <c r="F57" i="30"/>
  <c r="F58" i="30" l="1"/>
  <c r="F65" i="30"/>
  <c r="F139" i="30" l="1"/>
  <c r="F138" i="30"/>
  <c r="F183" i="30" l="1"/>
  <c r="F181" i="30"/>
  <c r="F180" i="30"/>
  <c r="F48" i="30" l="1"/>
  <c r="D142" i="30" s="1"/>
  <c r="F66" i="30" l="1"/>
  <c r="F45" i="30"/>
  <c r="D132" i="30" s="1"/>
  <c r="F132" i="30" s="1"/>
  <c r="F204" i="30" l="1"/>
  <c r="F165" i="30"/>
  <c r="F191" i="30" l="1"/>
  <c r="F215" i="30" l="1"/>
  <c r="F190" i="30" l="1"/>
  <c r="F167" i="30" l="1"/>
  <c r="F130" i="30"/>
  <c r="F131" i="30" l="1"/>
  <c r="F140" i="30" l="1"/>
  <c r="F174" i="30"/>
  <c r="F171" i="30"/>
  <c r="F184" i="30"/>
  <c r="F248" i="30"/>
  <c r="B268" i="30" l="1"/>
  <c r="F141" i="30" l="1"/>
  <c r="F142" i="30"/>
  <c r="F193" i="30" l="1"/>
  <c r="F164" i="30"/>
  <c r="F175" i="30"/>
  <c r="F177" i="30"/>
  <c r="F243" i="30" l="1"/>
  <c r="F194" i="30" l="1"/>
  <c r="F192" i="30"/>
  <c r="F182" i="30"/>
  <c r="B267" i="30" l="1"/>
  <c r="B266" i="30"/>
  <c r="F241" i="30" l="1"/>
  <c r="F242" i="30"/>
  <c r="F265" i="30" l="1"/>
  <c r="G266" i="30" s="1"/>
  <c r="F46" i="30"/>
  <c r="D133" i="30" s="1"/>
  <c r="F133" i="30" s="1"/>
  <c r="F287" i="30" l="1"/>
  <c r="F172" i="30" l="1"/>
  <c r="F185" i="30"/>
  <c r="F249" i="30" l="1"/>
  <c r="F195" i="30" l="1"/>
  <c r="F166" i="30" l="1"/>
  <c r="B269" i="30" l="1"/>
  <c r="B287" i="30" s="1"/>
  <c r="G287" i="30" l="1"/>
  <c r="F216" i="30"/>
  <c r="F206" i="30"/>
  <c r="F120" i="30" l="1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<sst xmlns="http://schemas.openxmlformats.org/spreadsheetml/2006/main" count="603" uniqueCount="491">
  <si>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</si>
  <si>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</si>
  <si>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</si>
  <si>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</si>
  <si>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</si>
  <si>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</si>
  <si>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</si>
  <si>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</si>
  <si>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</si>
  <si>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</si>
  <si>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</si>
  <si>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</si>
  <si>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</si>
  <si>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</si>
  <si>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</si>
  <si>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</si>
  <si>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</si>
  <si>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</si>
  <si>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</si>
  <si>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</si>
  <si>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</si>
  <si>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</si>
  <si>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</si>
  <si>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</si>
  <si>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</si>
  <si>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</si>
  <si>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</si>
  <si>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</si>
  <si>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</si>
  <si>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</si>
  <si>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</si>
  <si>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</si>
  <si>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</si>
  <si>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</si>
  <si>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</si>
  <si>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</si>
  <si>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</si>
  <si>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</si>
  <si>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</si>
  <si>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</si>
  <si>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</si>
  <si>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</si>
  <si>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</si>
  <si>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</si>
  <si>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</si>
  <si>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</si>
  <si>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</si>
  <si>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</si>
  <si>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</si>
  <si>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</si>
  <si>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</si>
  <si>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</si>
  <si>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</si>
  <si>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</si>
  <si>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</si>
  <si>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</si>
  <si>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</si>
  <si>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</si>
  <si>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</si>
  <si>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</si>
  <si>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</si>
  <si>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</si>
  <si>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</si>
  <si>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</si>
  <si>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</si>
  <si>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</si>
  <si>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</si>
  <si>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</si>
  <si>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</si>
  <si>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</si>
  <si>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</si>
  <si>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</si>
  <si>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</si>
  <si>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</si>
  <si>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</si>
  <si>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</si>
  <si>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</si>
  <si>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</si>
  <si>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</si>
  <si>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</si>
  <si>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</si>
  <si>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</si>
  <si>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</si>
  <si>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</si>
  <si>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</si>
  <si>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</si>
  <si>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</si>
  <si>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</si>
  <si>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</si>
  <si>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</si>
  <si>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</si>
  <si>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</si>
  <si>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</si>
  <si>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</si>
  <si>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</si>
  <si>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</si>
  <si>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</si>
  <si>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</si>
  <si>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</si>
  <si>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</si>
  <si>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</si>
  <si>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</si>
  <si>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</si>
  <si>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</si>
  <si>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</si>
  <si>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</si>
  <si>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</si>
  <si>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</si>
  <si>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</si>
  <si>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</si>
  <si>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</si>
  <si>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</si>
  <si>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</si>
  <si>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</si>
  <si>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</si>
  <si>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</si>
  <si>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</si>
  <si>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</si>
  <si>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</si>
  <si>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</si>
  <si>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</si>
  <si>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</si>
  <si>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</si>
  <si>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</si>
  <si>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</si>
  <si>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</si>
  <si>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</si>
  <si>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</si>
  <si>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</si>
  <si>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</si>
  <si>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</si>
  <si>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</si>
  <si>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</si>
  <si>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</si>
  <si>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</si>
  <si>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</si>
  <si>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</si>
  <si>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</si>
  <si>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</si>
  <si>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</si>
  <si>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</si>
  <si>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</si>
  <si>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</si>
  <si>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</si>
  <si>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</si>
  <si>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</si>
  <si>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</si>
  <si>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</si>
  <si>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</si>
  <si>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</si>
  <si>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</si>
  <si>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</si>
  <si>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</si>
  <si>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</si>
  <si>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</si>
  <si>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</si>
  <si>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</si>
  <si>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</si>
  <si>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</si>
  <si>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</si>
  <si>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</si>
  <si>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</si>
  <si>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</si>
  <si>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</si>
  <si>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</si>
  <si>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</si>
  <si>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</si>
  <si>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</si>
  <si>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</si>
  <si>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</si>
  <si>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</si>
  <si>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</si>
  <si>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</si>
  <si>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</si>
  <si>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</si>
  <si>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</si>
  <si>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</si>
  <si>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</si>
  <si>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</si>
  <si>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</si>
  <si>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</si>
  <si>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</si>
  <si>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</si>
  <si>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</si>
  <si>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</si>
  <si>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</si>
  <si>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</si>
  <si>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</si>
  <si>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</si>
  <si>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</si>
  <si>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</si>
  <si>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</si>
  <si>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</si>
  <si>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</si>
  <si>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</si>
  <si>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</si>
  <si>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</si>
  <si>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</si>
  <si>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</si>
  <si>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</si>
  <si>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</si>
  <si>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</si>
  <si>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</si>
  <si>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</si>
  <si>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</si>
  <si>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</si>
  <si>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</si>
  <si>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</si>
  <si>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</si>
  <si>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</si>
  <si>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</si>
  <si>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</si>
  <si>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</si>
  <si>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</si>
  <si>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</si>
  <si>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</si>
  <si>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</si>
  <si>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</si>
  <si>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</si>
  <si>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</si>
  <si>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</si>
  <si>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</si>
  <si>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</si>
  <si>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</si>
  <si>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</si>
  <si>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</si>
  <si>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</si>
  <si>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</si>
  <si>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</si>
  <si>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</si>
  <si>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</si>
  <si>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</si>
  <si>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</si>
  <si>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</si>
  <si>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</si>
  <si>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</si>
  <si>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</si>
  <si>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</si>
  <si>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</si>
  <si>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</si>
  <si>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</si>
  <si>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</si>
  <si>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</si>
  <si>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</si>
  <si>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</si>
  <si>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 xml:space="preserve"> </t>
  </si>
  <si>
    <t>формулы
 доходы</t>
  </si>
  <si>
    <t>к  решению  «О внесении изменений в решение  Совета народных депутатов  Анжеро-Судженского городского округа от 20.12.2018  № 167 «О  бюджете  муниципального образования «Анжеро-Судженский городской округ» на 2019 год  и на плановый период  2020 и 2021 годов»</t>
  </si>
  <si>
    <t>(тыс.руб.)</t>
  </si>
  <si>
    <t>913 0703 051 00 11231 600</t>
  </si>
  <si>
    <t>итого</t>
  </si>
  <si>
    <t>План на 2019 год</t>
  </si>
  <si>
    <t>Налоговые неналоговые доходы</t>
  </si>
  <si>
    <t>911 0701 051 00 11202 600</t>
  </si>
  <si>
    <t>911 0703 051 00 11231 600</t>
  </si>
  <si>
    <t>911 0701 032 00 11701 600</t>
  </si>
  <si>
    <t>911 0701 032 00 11701 200</t>
  </si>
  <si>
    <t>1.2. Вносятся изменения в план по доходам налоговых и  неналоговых платежей на 2019 год:</t>
  </si>
  <si>
    <t>по Управлению образования:</t>
  </si>
  <si>
    <t>911 0702 051 00 12221 200</t>
  </si>
  <si>
    <t>900 0501 043 F3 09602 400</t>
  </si>
  <si>
    <t>911 0702 032 00 11701 600</t>
  </si>
  <si>
    <t>911 0703 032 00 11701 600</t>
  </si>
  <si>
    <t>Субсидии, субвенции, иные межбюджетные трансферты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</si>
  <si>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Изменения по доходам вносятся на 2019 год:</t>
    </r>
  </si>
  <si>
    <t>911 0701 051 00 11202 800</t>
  </si>
  <si>
    <t>дополнительно</t>
  </si>
  <si>
    <r>
      <rPr>
        <b/>
        <sz val="14"/>
        <rFont val="Times New Roman"/>
        <family val="1"/>
        <charset val="204"/>
      </rPr>
      <t xml:space="preserve">1.3. </t>
    </r>
    <r>
      <rPr>
        <sz val="14"/>
        <rFont val="Times New Roman"/>
        <family val="1"/>
        <charset val="204"/>
      </rPr>
      <t xml:space="preserve">Увеличиваются прочие безвозмездные поступления  на сумму </t>
    </r>
    <r>
      <rPr>
        <b/>
        <sz val="14"/>
        <rFont val="Times New Roman"/>
        <family val="1"/>
        <charset val="204"/>
      </rPr>
      <t xml:space="preserve"> 3600,0 тыс.руб </t>
    </r>
    <r>
      <rPr>
        <sz val="14"/>
        <rFont val="Times New Roman"/>
        <family val="1"/>
        <charset val="204"/>
      </rPr>
      <t>за счет финансовой помощи от АО "Сибирский Антрацит" .</t>
    </r>
  </si>
  <si>
    <t>ВСЕГО дополнительно доходов собственной базы 3600,0тыс.руб.</t>
  </si>
  <si>
    <r>
      <rPr>
        <b/>
        <sz val="14"/>
        <rFont val="Times New Roman"/>
        <family val="1"/>
        <charset val="204"/>
      </rPr>
      <t>4.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3, 4, 5): </t>
    </r>
  </si>
  <si>
    <r>
      <rPr>
        <b/>
        <sz val="14"/>
        <rFont val="Times New Roman"/>
        <family val="1"/>
        <charset val="204"/>
      </rPr>
      <t>6.</t>
    </r>
    <r>
      <rPr>
        <sz val="14"/>
        <rFont val="Times New Roman"/>
        <family val="1"/>
        <charset val="204"/>
      </rPr>
      <t xml:space="preserve">  Итог сбалансированности бюджета:</t>
    </r>
  </si>
  <si>
    <r>
      <rPr>
        <b/>
        <sz val="14"/>
        <rFont val="Times New Roman"/>
        <family val="1"/>
        <charset val="204"/>
      </rPr>
      <t>4.2.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</si>
  <si>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По Управлению культуры:</t>
  </si>
  <si>
    <t xml:space="preserve"> - для проведения инженерных изысканий на объекте "Детская школа искусств" в сумме 61,1 т.р..</t>
  </si>
  <si>
    <t>За счет финансовой помощи от АО "Сибирский Антрацит" в сумме 3600,0 т.р., в том числе:</t>
  </si>
  <si>
    <r>
      <t xml:space="preserve"> </t>
    </r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 -  для проведения инженерных изысканий на объекте "Детская школа искусств"  на 600,0 т.р.;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</si>
  <si>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 - для  реализации инициативного бюджетирования через Управление образования (капитального ремонта актового зала школы № 17) на 900,6 т.р.;
 - для устройства системы вентиляции, электроосвещения и выполнения электромонтажных работ в актовом зале шк. №17 1880,1 на т.р.;
- для противопожарных мероприятий на 219,3т.р..</t>
    </r>
  </si>
  <si>
    <t>915 1006 081 Р3 52940 600</t>
  </si>
  <si>
    <t>900 0501 043 F3 09602 800</t>
  </si>
  <si>
    <t>911 0702 051 00 71820 100</t>
  </si>
  <si>
    <t>Источники дефицита бюджета</t>
  </si>
  <si>
    <t>911 0709 053 00 11351 600</t>
  </si>
  <si>
    <t>913 0703 032 00 11701 600</t>
  </si>
  <si>
    <t>919 0502 103 00 11203 800</t>
  </si>
  <si>
    <t>911 0701 051 00 11202 100</t>
  </si>
  <si>
    <t>911 0701 051 00 11202 200</t>
  </si>
  <si>
    <t>900 0412 140 I5 71321 800</t>
  </si>
  <si>
    <t>900 0412 140 I5 55274 800</t>
  </si>
  <si>
    <t>по УСЗН:</t>
  </si>
  <si>
    <t>900 0412 140 00 15801 800</t>
  </si>
  <si>
    <t>900 0412 140 00 12801 200</t>
  </si>
  <si>
    <t>911 0702 051 00 11211 600</t>
  </si>
  <si>
    <t>911 0702 051 00 12221 800</t>
  </si>
  <si>
    <t>911 0702 051 00 S1771 600</t>
  </si>
  <si>
    <t>900 0501 043 F3 09502 400</t>
  </si>
  <si>
    <t>900 0501 043 F3 09502 800</t>
  </si>
  <si>
    <t>911 1003 052 00 73050 200</t>
  </si>
  <si>
    <t>911 1003 052 00 73050 600</t>
  </si>
  <si>
    <t>911 0702 051 00 71830 100</t>
  </si>
  <si>
    <t>911 0702 051 00 71830 600</t>
  </si>
  <si>
    <t>913 0804 060 00 14522 200</t>
  </si>
  <si>
    <t>913 0804 060 00 14522 800</t>
  </si>
  <si>
    <t>905 0113 020 00 19001 100</t>
  </si>
  <si>
    <t>905 0113 020 00 19001 200</t>
  </si>
  <si>
    <t>905 0113 020 00 19001 800</t>
  </si>
  <si>
    <t>905 0501 045 00 13003 200</t>
  </si>
  <si>
    <t>905 1003 041 00 11501 400</t>
  </si>
  <si>
    <t>905 0412 020 00 11001 200</t>
  </si>
  <si>
    <t>905 1004 041 00 R0820 400</t>
  </si>
  <si>
    <t>900 1003 042 00 L4970 300</t>
  </si>
  <si>
    <t>911 0701 051 00 71800 100</t>
  </si>
  <si>
    <t>911 0701 051 00 71800 600</t>
  </si>
  <si>
    <t xml:space="preserve"> -  на 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 (школы) на 4530,8 т.р. (ФОТ);
 -  на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на 3183,0 т.р. (ФОТ);
 - на обеспечение деятельности по содержанию организаций для детей-сирот и детей, оставшихся без попечения родителей (д/дом) на 1439,8 т.р. (ФОТ 19,8 т.р., прочие -  1420,0 т.р. ).</t>
  </si>
  <si>
    <t>911 1003 052 00 80120 300</t>
  </si>
  <si>
    <t>911 1004 052 00 71810 600</t>
  </si>
  <si>
    <t>915 0401 081 Р3 52940 600</t>
  </si>
  <si>
    <t>919 0502 103 00 11302 800</t>
  </si>
  <si>
    <t>919 0502 103 00 15101 800</t>
  </si>
  <si>
    <t>919 0409 150 00 11007 200</t>
  </si>
  <si>
    <t>919 0409 150 F2 55550 200</t>
  </si>
  <si>
    <t>919 0503 150 00 11007 200</t>
  </si>
  <si>
    <t>919 0503 150 F2 55550 200</t>
  </si>
  <si>
    <t>915 1004 086 00 80050 300</t>
  </si>
  <si>
    <t>915 1003 086 00 70100 300</t>
  </si>
  <si>
    <t>915 1003 086 00 51370 300</t>
  </si>
  <si>
    <t>915 1003 086 00 52800 200</t>
  </si>
  <si>
    <t>915 1003 086 00 52800 300</t>
  </si>
  <si>
    <t>915 1003 086 00 80080 300</t>
  </si>
  <si>
    <t>915 1003 086 Р1 80010 300</t>
  </si>
  <si>
    <t>911 1004 052 00 80130 300</t>
  </si>
  <si>
    <t>900 1301 120 00 11004 700</t>
  </si>
  <si>
    <t>915 1003 086 00 52500 300</t>
  </si>
  <si>
    <t xml:space="preserve"> -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 на 14,0 т.р.;
 -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на 1,0 т.р.;
 - на оплату жилищно-коммунальных услуг отдельным категориям граждан на 950,0 т.р.;
 - на 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 на 300,0 т.р.;</t>
  </si>
  <si>
    <t>915 1003 086 00 70010 300</t>
  </si>
  <si>
    <t xml:space="preserve"> -  на осуществление полномочия по осуществлению ежегодной денежной выплаты лицам, награжденным нагрудным знаком "Почетный донор России" на 71,0 т.р.;
 - на государственную социальную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 на 102,0 т.р.;
 - на дополнительную меру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 на 2000,0 т.р.;
 - на 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 на 70,0 т.р.;</t>
  </si>
  <si>
    <t>915 1003 086 00 70060 300</t>
  </si>
  <si>
    <t>915 1003 086 00 70090 300</t>
  </si>
  <si>
    <t>915 1003 086 00 80090 200</t>
  </si>
  <si>
    <t>915 1003 086 00 80090 300</t>
  </si>
  <si>
    <t>915 1003 086 Р1 70050 300</t>
  </si>
  <si>
    <t>915 1003 086 00 80110 300</t>
  </si>
  <si>
    <t>915 1003 086 00 80110 800</t>
  </si>
  <si>
    <t>Жилье молодым семьям</t>
  </si>
  <si>
    <t>Обслуживание муниципального долга</t>
  </si>
  <si>
    <t>915 1002 085 00 70160 600</t>
  </si>
  <si>
    <t>915 1002 085 00 70170 100</t>
  </si>
  <si>
    <t>913 0801 060 00 11402 600</t>
  </si>
  <si>
    <t>913 0801 060 00 13421 600</t>
  </si>
  <si>
    <t>Резервный фонд</t>
  </si>
  <si>
    <t>900 0111 015 00 13071 800</t>
  </si>
  <si>
    <t>900 0113 020 00 16001 600</t>
  </si>
  <si>
    <t>ГО и ЧС очистные Рудник</t>
  </si>
  <si>
    <t>911 0701 051 00 71800 200</t>
  </si>
  <si>
    <t>КФСиТ</t>
  </si>
  <si>
    <t>904 1101 090 00 15232 600</t>
  </si>
  <si>
    <t>904 1101 032 00 11701 600</t>
  </si>
  <si>
    <t>2020г</t>
  </si>
  <si>
    <t>915 1004 086 Р1 50840 300</t>
  </si>
  <si>
    <t>2021г</t>
  </si>
  <si>
    <t xml:space="preserve"> -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на плановый период: 2020 г - на 35344,0 т.р., 2021г - на 36755,0 т.р.;</t>
  </si>
  <si>
    <t>900 0401 081 00 73720 600</t>
  </si>
  <si>
    <t>913 0801 060 00 12411 600</t>
  </si>
  <si>
    <t>913 0804 060 00 14041 200</t>
  </si>
  <si>
    <t>913 0804 060 00 14041 800</t>
  </si>
  <si>
    <t>919 0505 104 00 11043 200</t>
  </si>
  <si>
    <t>919 1006 081 00 13401 300</t>
  </si>
  <si>
    <t>КСП</t>
  </si>
  <si>
    <t>906 0106 990 00 24001 100</t>
  </si>
  <si>
    <t>906 0106 990 00 24001 200</t>
  </si>
  <si>
    <t>904 1101 044 00 12201 400</t>
  </si>
  <si>
    <t>904 1101 090 00 11013 600</t>
  </si>
  <si>
    <t>915 1006 084 00 70280 100</t>
  </si>
  <si>
    <t>911 0709 051 00 S3060 600</t>
  </si>
  <si>
    <t>915 1002 085 00 11051 100</t>
  </si>
  <si>
    <t>915 1002 085 00 11051 200</t>
  </si>
  <si>
    <t>УСЗН целевые</t>
  </si>
  <si>
    <t>900 1006 081 00 13401 100</t>
  </si>
  <si>
    <t>900 1006 081 00 13401 600</t>
  </si>
  <si>
    <t>915 1001 082 00 91001 300</t>
  </si>
  <si>
    <t>915 1006 081 00 11403 200</t>
  </si>
  <si>
    <t>911 0709 053 00 72070 100</t>
  </si>
  <si>
    <t>911 0709 053 00 72070 200</t>
  </si>
  <si>
    <t>911 1004 052 00 71810 200</t>
  </si>
  <si>
    <t>911 1004 052 00 71810 300</t>
  </si>
  <si>
    <t>Администрация предпринимательство софинансирование</t>
  </si>
  <si>
    <t>904 1102 090 00 13012 100</t>
  </si>
  <si>
    <t>904 1102 090 00 13012 200</t>
  </si>
  <si>
    <t>900 1003 041 00 71660 400</t>
  </si>
  <si>
    <t>919 0503 115 00 72500 200</t>
  </si>
  <si>
    <t>919 0503 115 00 11152 200</t>
  </si>
  <si>
    <t>919 0503 115 00 S2500 200</t>
  </si>
  <si>
    <t>913 0801 044 00 12201 200</t>
  </si>
  <si>
    <t>900 0501 044 00 11201 400</t>
  </si>
  <si>
    <t>900 0501 044 00 11201 200</t>
  </si>
  <si>
    <t>900 0501 044 00 12201 200</t>
  </si>
  <si>
    <t>900 0501 044 00 12201 400</t>
  </si>
  <si>
    <t>900 0113 044 00 13201 600</t>
  </si>
  <si>
    <t>900  0102 011 00 11011 100</t>
  </si>
  <si>
    <t>900 0104 011 00 11021 100</t>
  </si>
  <si>
    <t>900 0113 130 00 11171 600</t>
  </si>
  <si>
    <t>900 0309 031 00 15003 600</t>
  </si>
  <si>
    <t>Администрация строительство</t>
  </si>
  <si>
    <t>МФЦ ФОТ</t>
  </si>
  <si>
    <t>КУМИ ФОТ</t>
  </si>
  <si>
    <t xml:space="preserve"> 1.1.3. иные межбюджетные трансферты увеличиваются на   152,0тыс. руб</t>
  </si>
  <si>
    <t xml:space="preserve">2.1.  На основании   уведомлениия ГФУ </t>
  </si>
  <si>
    <t xml:space="preserve">3.1.  На основании   уведомлениия ГФУ </t>
  </si>
  <si>
    <t>919 0502 103 00 16101 800</t>
  </si>
  <si>
    <t>919 0503 118 00 11182 600</t>
  </si>
  <si>
    <t>919 0502 101 00 11301 200</t>
  </si>
  <si>
    <t>919 0501 045 00 14003 800</t>
  </si>
  <si>
    <t>900 0113 015 00 16131 300</t>
  </si>
  <si>
    <t>915 1001 082 00 91001 200</t>
  </si>
  <si>
    <t>УСЗН пенсии</t>
  </si>
  <si>
    <t>СНД</t>
  </si>
  <si>
    <t>907 0103 990 00 24001 100</t>
  </si>
  <si>
    <t>907 0103 990 00 24001 200</t>
  </si>
  <si>
    <t>907 0103 990 00 20121 100</t>
  </si>
  <si>
    <t>907 0103 990 00 20111 100</t>
  </si>
  <si>
    <t>915 1006 081 00 16401 200</t>
  </si>
  <si>
    <t>915 1006 081 00 11403 300</t>
  </si>
  <si>
    <t>911 1003 052 00 72010 600</t>
  </si>
  <si>
    <t>913 1003 052 00 72010 300</t>
  </si>
  <si>
    <t>900 0104 015 00 71960 100</t>
  </si>
  <si>
    <t>900 0104 015 00 71960 200</t>
  </si>
  <si>
    <t>3.1.1.  субвенции  увеличиваются  на  36753,8  тыс. руб;</t>
  </si>
  <si>
    <t>ВСЕГО доходов собственной базы 2019год: 23,4тыс.руб.</t>
  </si>
  <si>
    <t xml:space="preserve"> 1.1.2.  субсидии увеличиваются   на 16505,4тыс.руб.</t>
  </si>
  <si>
    <t xml:space="preserve">1.2. Увеличиваются прочие безвозмездные поступления  на сумму  23,4 тыс.руб в том числе : в связи с победой в IV Всероссийском конкурсе "Курс на семью" и заключением договора благотворительного пожертвования МКУ АСГО "СРЦН" увеличение на 23,4 тыс.руб.
                                                     </t>
  </si>
  <si>
    <t>1.1.  На основании Закона Кемеровской области от 01.10.2019г №95-ОЗ "О внесении изменений в Закон Кемеровской области «Об областном бюджете на 2019 год и на плановый период 2020 и 2021 годов», уведомлений ГФУ от 24.10.19 №5160, 5187, 5133, от 05.11.19 №5224, 5225, 5226, 5227:</t>
  </si>
  <si>
    <r>
      <rPr>
        <b/>
        <sz val="14"/>
        <rFont val="Times New Roman"/>
        <family val="1"/>
        <charset val="204"/>
      </rPr>
      <t>4.1.</t>
    </r>
    <r>
      <rPr>
        <sz val="14"/>
        <rFont val="Times New Roman"/>
        <family val="1"/>
        <charset val="204"/>
      </rPr>
      <t xml:space="preserve">  На основании Закона Кемеровской области от 01.10.2019г №95-ОЗ "О внесении изменений в Закон Кемеровской области «Об областном бюджете на 2019 год и на плановый период 2020 и 2021 годов», уведомлений ГФУ от 24.10.19 №5160, 5187, 5133, от 05.11.19 №5224, 5225, 5226, 5227 :</t>
    </r>
  </si>
  <si>
    <r>
      <rPr>
        <b/>
        <sz val="14"/>
        <rFont val="Times New Roman"/>
        <family val="1"/>
        <charset val="204"/>
      </rPr>
      <t>По Администрации:</t>
    </r>
    <r>
      <rPr>
        <sz val="14"/>
        <rFont val="Times New Roman"/>
        <family val="1"/>
        <charset val="204"/>
      </rPr>
      <t xml:space="preserve">
 - на реализацию мероприятий по обеспечению жильем молодых семей на 151,2 т.р.;
 -  на обеспечение жильем социальных категорий граждан, установленных законодательством Кемеровской области на 237,1 т.р.;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</si>
  <si>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sz val="14"/>
        <rFont val="Times New Roman"/>
        <family val="1"/>
        <charset val="204"/>
      </rPr>
      <t xml:space="preserve">
 - на предоставление бесплатного проезда отдельным категориям обучающихся на 107,6 т.р.;
 - на 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 на 363,1 т.р.;
 - на  компенсацию части платы за присмотр и уход, взимаемой с родителей (законных представителей) детей, осваивающих образовательные программы дошкольного образования на 739,9 т.р.;
  - на 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 на 1000,0 т.р.;</t>
    </r>
  </si>
  <si>
    <r>
      <rPr>
        <b/>
        <sz val="14"/>
        <rFont val="Times New Roman"/>
        <family val="1"/>
        <charset val="204"/>
      </rPr>
      <t>По КУМИ:</t>
    </r>
    <r>
      <rPr>
        <sz val="14"/>
        <rFont val="Times New Roman"/>
        <family val="1"/>
        <charset val="204"/>
      </rPr>
      <t xml:space="preserve">
 -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на 101,3 т.р.;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</si>
  <si>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на пособие на ребенка в соответствии с Законом Кемеровской области от 18 ноября 2004 года № 75-ОЗ "О размере, порядке назначения и выплаты пособия на ребенка" на 2000,0 т.р.;
 - на 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предприятиях" на 1,2 т.р.;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</si>
  <si>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- для оплаты ресурсоснабжающим организациям в сумме 2500,0 т.р.;
 - для оплаты по национальному проекту "Формирование комфортной городской среды" в сумме 251,0 т.р.;
 - для оплаты по договорам ГПХ для объезда, обследования и составления реестра мест складирования ТБО, а также выявления несанкционированных свалок в сумме 69,0 т.р.;
 - для софинансирования приобретения контейнеров для сбора твердых коммунальных отходов в сумме 240,0 т.р.;
 - для расчетов с ООО "Сибирский колос" в сумме 1500,0 т.р.;
 для проведения капитального ремонта трубопровода теплотрассы по ул. Желябова в сумме 50,0 т.р.;</t>
    </r>
  </si>
  <si>
    <r>
      <rPr>
        <b/>
        <sz val="14"/>
        <rFont val="Times New Roman"/>
        <family val="1"/>
        <charset val="204"/>
      </rPr>
      <t>По КСП</t>
    </r>
    <r>
      <rPr>
        <sz val="14"/>
        <rFont val="Times New Roman"/>
        <family val="1"/>
        <charset val="204"/>
      </rPr>
      <t>:
 - для приобретения архивных шкафов в целях соблюдения требований ФЗ от 27.07.2006г №152-ФЗ "О  персональных данных" в сумме 4,7 т.р.;</t>
    </r>
  </si>
  <si>
    <r>
      <rPr>
        <b/>
        <sz val="14"/>
        <rFont val="Times New Roman"/>
        <family val="1"/>
        <charset val="204"/>
      </rPr>
      <t>По СНД:</t>
    </r>
    <r>
      <rPr>
        <sz val="14"/>
        <rFont val="Times New Roman"/>
        <family val="1"/>
        <charset val="204"/>
      </rPr>
      <t xml:space="preserve">
 - для оплаты труда, приобретения запчастей в сумме 9,7 т.р.;</t>
    </r>
  </si>
  <si>
    <r>
      <rPr>
        <b/>
        <sz val="14"/>
        <rFont val="Times New Roman"/>
        <family val="1"/>
        <charset val="204"/>
      </rPr>
      <t>Переносятся ассигнования с одного ГРБС на другого:</t>
    </r>
    <r>
      <rPr>
        <sz val="14"/>
        <rFont val="Times New Roman"/>
        <family val="1"/>
        <charset val="204"/>
      </rPr>
      <t xml:space="preserve">
 - с Управления образования на управление культуры по социальной поддержке участников образовательного процесса в соответствии с фактическими расходами в сумме 28,0 т.р.;</t>
    </r>
  </si>
  <si>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- по ФОТ в связи с экономией по достижению целевого показателя по заработнй плате работников культуры на 1476,2 т.р.;</t>
    </r>
  </si>
  <si>
    <r>
      <rPr>
        <b/>
        <sz val="14"/>
        <rFont val="Times New Roman"/>
        <family val="1"/>
        <charset val="204"/>
      </rPr>
      <t xml:space="preserve">5. </t>
    </r>
    <r>
      <rPr>
        <sz val="14"/>
        <rFont val="Times New Roman"/>
        <family val="1"/>
        <charset val="204"/>
      </rPr>
      <t xml:space="preserve"> Вносятся изменения в источники финансирования дефицита бюджета, уменьшается  строка "Получение кредитов от кредитных организаций бюджетами городских округов в валюте Российской Федерации", увеличивается строка "Получение кредитов от других бюджетов бюджетной системы Российской Федерации бюджетами городских округов в валюте Российской Федерации" на 30000 т.р. по 2019 году в связи с получением бюджетного кредита. 
Увеличивается  строка "Получение кредитов от кредитных организаций бюджетами городских округов в валюте Российской Федерации", увеличивается строка "Погашение кредитов от других бюджетов бюджетной системы Российской Федерации бюджетами городских округов в валюте Российской Федерации" на 8000,0 т.р. по 2020 году, на 12000,0 т.р. по 2021 году соответственно в связи с получением бюджетного кредита. </t>
    </r>
  </si>
  <si>
    <t xml:space="preserve"> 1.1.3.  субвенции  увеличиваются  на  7634,1 тыс. руб;</t>
  </si>
  <si>
    <t>2.1.1.  субсидии увеличиваются   131532,6 тыс.руб.</t>
  </si>
  <si>
    <t>2.1.2.  субвенции  увеличиваются  на  35342,8 тыс. руб;</t>
  </si>
  <si>
    <t xml:space="preserve">  - на государственную поддержку малого и среднего предпринимательства в субъекте Российской Федерации (реализация программы поддержки субъектов малого и среднего предпринимательства в целях их ускоренного развития в моногородах) на 11500,0 т.р. (ФБ);
- на государственную поддержку малого и среднего предпринимательства в Кемеровской области (реализация отдельных мероприятий муниципальных программ развития субъектов малого и среднего предпринимательства) на 2996,6 т.р. (ОБ);
 - на стажировку выпускников образовательных организаций в целях приобретения ими опыта работы в рамках мероприятий по содействию занятости населения на 152,0 т.р.;
 -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на 2020г на 131144,2 т.р. (ФБ);
 -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на 2020г на 388,4 т.р. (ОБ);</t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</si>
  <si>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- на поддержку жилищно-коммунального хозяйства на приобретение контейнеров для вывоза ТБО на 2160,0 т.р.;</t>
    </r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</si>
  <si>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- по программе " Предпринимательство" в связи с определением местной доли на софинансирование по соглашению в сумме 509,7 т.р.;
 - для выплаты возмещения физлицам - собственникам жилых помещений , изымаемых в целях сноса аварийного жилого фонда по программе "Строительство" в сумме 3224,3 т.р. на основании письма минфина от 26.07.2019 №02-05-11/56465;
 - по подпрограмме "Милосердие" уменьшается сумма по софинансированию с Центром занятости на трудоустройство инвалидам в соответствии с фактическими расходами, увеличивается резервный фонд в сумме 2,2 т.р.;
 - для выполнения инженерных изысканий для строительства ж/д №56,57 по ул. Сосновая в сумме 3693,7 т.р. по 2020г;
 - по КДН для приобретения канцтоваров в сумме 1,1 т.р.;</t>
    </r>
  </si>
  <si>
    <r>
      <rPr>
        <b/>
        <sz val="14"/>
        <rFont val="Times New Roman"/>
        <family val="1"/>
        <charset val="204"/>
      </rPr>
      <t>По Администрации:</t>
    </r>
    <r>
      <rPr>
        <sz val="14"/>
        <rFont val="Times New Roman"/>
        <family val="1"/>
        <charset val="204"/>
      </rPr>
      <t xml:space="preserve">
 - по программе " Предпринимательство" в связи с определением местной доли на софинансирование по соглашению на 31,5 т.р.;
 - по обеспечению жильем молодых семей в связи с определением местной доли на софинансирование на 920,7 т.р.;
 - по обслуживанию муниципального долга в связи с экономией на 875,9 т.р.;
 - по резервному фонду в связи с отсутствием фактических расходов на 1259,3 т.р.;
 - по программе "Строительство" в соответствии с фактическими расходами на 10168,8 т.р.;
 - по наградному фонду  в связи с экономией на 40,1 т.р.;</t>
    </r>
  </si>
  <si>
    <t>Наградной фонд</t>
  </si>
  <si>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 Изменения по доходам вносятся на 2020 год:</t>
    </r>
  </si>
  <si>
    <r>
      <rPr>
        <b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. Изменения по доходам вносятся на 2021 год:</t>
    </r>
  </si>
  <si>
    <t>913 0804 060 00 14522 100</t>
  </si>
  <si>
    <t>Управление культуры ФОТ</t>
  </si>
  <si>
    <t>КФСиТ ФОТ</t>
  </si>
  <si>
    <t>911 0709 053 00 11521 200</t>
  </si>
  <si>
    <t>911 0709 053 00 11521 800</t>
  </si>
  <si>
    <t>911 0709 053 00 11521 600</t>
  </si>
  <si>
    <t>911 0709 053 00 18221 100</t>
  </si>
  <si>
    <t>911 0709 053 00 18221 600</t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</si>
  <si>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- для оплаты организации профессионального обучения и дополнительного профессионального образования лиц предпенсионного возраста в сумме 200,0 т.р.;
 - для выплаты пособия по уходу за ребенком до 3-х лет в сумме 0,5 т.р.;
 - для выплаты пенсий за выслугу лет лицам, замещающим должности муниципальной службы и муниципальным служащим в сумме 284,1 т.р.;
 - для приобретения материалов по Центру реабилитации в сумме 4,1 т.р.;
 - по подпрограмме "Милосердие" для оказания адресной помощи в сумме 64,4 т.р.;</t>
    </r>
  </si>
  <si>
    <t xml:space="preserve">915 1006 087 00 11005 200 </t>
  </si>
  <si>
    <t xml:space="preserve">915 1006 087 00 11005 300 </t>
  </si>
  <si>
    <t>913 0801 032 00 11701 600</t>
  </si>
  <si>
    <t xml:space="preserve"> - на предоставление гражданам субсидий на оплату жилого помещения и коммунальных услуг на 1000,0 т.р.;
 -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 на 1232,8 т.р. (ФОТ);
 - на 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 на 179,5 т.р.(92,5 - ФОТ, 87,0 - прочие);
 - на денежную выплату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 на 60,3 т.р.;</t>
  </si>
  <si>
    <t xml:space="preserve"> - на 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жилых помещений и (или) коммунальных услуг" на 200,0 т.р.;
 - на 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предприятиях" на плановый период на 1,2 - 2020г, 1,2 - 2021г;
 - на выплату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 некоторых вопросах в сфере погребения и похоронного дела в Кемеровской области" на 120,0 т.р.;</t>
  </si>
  <si>
    <r>
      <rPr>
        <b/>
        <sz val="14"/>
        <rFont val="Times New Roman"/>
        <family val="1"/>
        <charset val="204"/>
      </rPr>
      <t>По КФСиТ:</t>
    </r>
    <r>
      <rPr>
        <sz val="14"/>
        <rFont val="Times New Roman"/>
        <family val="1"/>
        <charset val="204"/>
      </rPr>
      <t xml:space="preserve">
 - для оплаты противопожарных мероприятий в сумме 32,2 т.р.;
 - для оплаты налога на имущество в сумме 230,6 т.р.;
 - для приобретения чернил, картриджей, прочих материальных запасов в сумме 4,0 т.р.;
 - для выплаты заработной платы в сумме 2704,2 т.р.;</t>
    </r>
  </si>
  <si>
    <t>911 0702 051 00 71830 200</t>
  </si>
  <si>
    <t xml:space="preserve"> - для оплаты труда в учреждениях дополнительного образования в сумме 429,7 т.р.;
 - для приобретения монитора, телефонного аппарата, картриджа в сумме 11,1 т.р.;
 - для определения достоверности сметной документации по школе искусств в сумме 150,4 т.р.;
 - для оплаты за ослуживание пожарной сигнализации, услуг связи в сумме 26,9 т.р.;</t>
  </si>
  <si>
    <r>
      <rPr>
        <b/>
        <sz val="14"/>
        <rFont val="Times New Roman"/>
        <family val="1"/>
        <charset val="204"/>
      </rPr>
      <t xml:space="preserve">По Управлению культуры:
</t>
    </r>
    <r>
      <rPr>
        <sz val="14"/>
        <rFont val="Times New Roman"/>
        <family val="1"/>
        <charset val="204"/>
      </rPr>
      <t xml:space="preserve"> - для оплаты госпошлины в арбитражный суд  в сумме 3,0 т.р.;
 - на оплату налога на имущество в сумме 7,2 т.р.;
 - на приобретение запчастей, оплату за обслуживание теплосчетчиков, оплату услуг по обращению ТКО с региональным оператором в сумме 6,7 т.р.;
 - для ремонта автобуса в сумме 7,7 т.р.;
 - для проведения инженерно-геодезических изысканий по ДК "Судженский" в сумме 30,0 т.р.;
 - для переработки сметной документации по школе искусств в сумме 60,0 т.р.;</t>
    </r>
  </si>
  <si>
    <t>913 0703 051 00 11231 200</t>
  </si>
  <si>
    <r>
      <rPr>
        <b/>
        <sz val="14"/>
        <rFont val="Times New Roman"/>
        <family val="1"/>
        <charset val="204"/>
      </rPr>
      <t>По КУМИ:</t>
    </r>
    <r>
      <rPr>
        <sz val="14"/>
        <rFont val="Times New Roman"/>
        <family val="1"/>
        <charset val="204"/>
      </rPr>
      <t xml:space="preserve">
 - для доведения ФОТ до расчетного частично в сумме 681,3 т.р.;
 - для оплаты экспертизы в суд в сумме 63,0 т.р.;
 - для оплаты программного обеспечения в сумме 300,0 т.р.;
 - для оплаты взносов по капитальному ремонту в сумме 200,0 т.р.;
 - для оплаты за электроэнергию по очистным сооружениям п. Рудничный в сумме 412,9 т.р.;</t>
    </r>
  </si>
  <si>
    <t>905 0113 020 00 13001 200</t>
  </si>
  <si>
    <t>905 0113 020 00 14001 200</t>
  </si>
  <si>
    <t>905 0113 020 00 17002 200</t>
  </si>
  <si>
    <t>905 0113 020 00 16001 200</t>
  </si>
  <si>
    <r>
      <rPr>
        <b/>
        <sz val="14"/>
        <rFont val="Times New Roman"/>
        <family val="1"/>
        <charset val="204"/>
      </rP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для оплаты пени по исполнительным листам, услуг связи, строительных материалов, запчастей, ГСМ, оплаты коммунальных услуг, вывоз мусора, противопожарных мероприятий в сумме 3414,8 т.р.;
 - для оплаты за  приобретение и монтаж оборудования для оснащения пункта проведения ЕГЭ в сумме 358,1 т.р.;
 - для оплаты за ремонт пола в школе №38 в сумме 749,5 т.р.;
 - по детскому дому на оплату текущих расходов в сумме 373,5 т.р.;</t>
    </r>
  </si>
  <si>
    <t xml:space="preserve"> - для оплаты проекта по инициативному бюджетированию (ремонт спортзала в шк. №12) в сумме 200,0 т.р.;
 - для оплаты проездных отличникам в сумме 5,4 т.р.;
 - для оплаты обучения БДД в сумме 10,0 т.р.;
 - на оплату по конкурсу "Воспитатель года" в сумме 94,1 т.р.;
 - на опату сайта управления образования в сумме 4,9 т.р.;
 - для оплаты учебных расходов по школам в  сумме 2,5 т.р.;
 - для оплаты штрафов в сумме 52,1 т.р;
 - для оплаты автострахования в сумме 3,3 т.р.;
 - для приобретения инвентаря, оплаты за ремонт автобусов, связи, 1С, ремонт автотранспорта в сумме 71,5 т.р.;</t>
  </si>
  <si>
    <t xml:space="preserve"> - в связи со сменой типа учреждения д/с №31 с бюджетного на казенный в сумме 2907,7 т.р.; 
- для выделения местной доли софинансирования по соглашению на укрепление материально-технической базы организаций отдыха детей и их оздоровления в сумме 3,0 т.р.;
 - для оплаты ремонта теплотрассы "Пирамида" в сумме 531,9 т.р.;
 - для оплаты лицензирования, ГСМ, ремонта крыши д/с № 27 в сумме 152,5 т.р.;
 - для оплаты по исполнительным листам в сумме 146,5 т.р.;
 - для оплаты материалов для ремонта теплотрассы, курсов повышения квалификации педагогов, оплаты услуг банка по компенсации родительской платы, вневедомственной охраны, комплектующих для компьютера в сумме 723,8 т.р.;
 - для оплаты компенсации матерям до 3-х лет в сумме 3,7 т.р., оплаты труда в сумме 3200,0 т.р.; </t>
  </si>
  <si>
    <t>911 0702 032 00 11701 200</t>
  </si>
  <si>
    <t>911 0709 032 00 11701 200</t>
  </si>
  <si>
    <t>911 0709 032 00 11701 600</t>
  </si>
  <si>
    <t>911 0709 051 00 13011 600</t>
  </si>
  <si>
    <t>ГО и ЧС ФОТ, лицензия ФСБ</t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</si>
  <si>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в связи с победой в IV Всероссийском конкурсе "Курс на семью" на 23,4 т.р.;
- на выплату пенсий за выслугу лет на 1517,0 т.р.;
</t>
    </r>
    <r>
      <rPr>
        <b/>
        <sz val="14"/>
        <rFont val="Times New Roman"/>
        <family val="1"/>
        <charset val="204"/>
      </rPr>
      <t>По КУМИ:</t>
    </r>
    <r>
      <rPr>
        <sz val="14"/>
        <rFont val="Times New Roman"/>
        <family val="1"/>
        <charset val="204"/>
      </rPr>
      <t xml:space="preserve">
 - для доведения ФОТ до расчетного в сумме 667,5 т.р.;</t>
    </r>
  </si>
  <si>
    <r>
      <rPr>
        <b/>
        <sz val="14"/>
        <rFont val="Times New Roman"/>
        <family val="1"/>
        <charset val="204"/>
      </rPr>
      <t>По администрации городского округа:</t>
    </r>
    <r>
      <rPr>
        <sz val="14"/>
        <rFont val="Times New Roman"/>
        <family val="1"/>
        <charset val="204"/>
      </rPr>
      <t xml:space="preserve">
 - ФОТ главы города в связи с кадровыми изменениями для выплаты расчетных на 616,0 т.р.;
 - для доведения ФОТ до расчетного на 6543,2 т.р.;
 - для 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 на 500,0 т.р.;
</t>
    </r>
    <r>
      <rPr>
        <b/>
        <sz val="14"/>
        <rFont val="Times New Roman"/>
        <family val="1"/>
        <charset val="204"/>
      </rPr>
      <t>по МФЦ:</t>
    </r>
    <r>
      <rPr>
        <sz val="14"/>
        <rFont val="Times New Roman"/>
        <family val="1"/>
        <charset val="204"/>
      </rPr>
      <t xml:space="preserve">
 - для доведения ФОТ до расчетного на 1433,8 т.р.;
</t>
    </r>
    <r>
      <rPr>
        <b/>
        <sz val="14"/>
        <rFont val="Times New Roman"/>
        <family val="1"/>
        <charset val="204"/>
      </rPr>
      <t>По ГО и ЧС:</t>
    </r>
    <r>
      <rPr>
        <sz val="14"/>
        <rFont val="Times New Roman"/>
        <family val="1"/>
        <charset val="204"/>
      </rPr>
      <t xml:space="preserve">
 - для доведения ФОТ до расчетного на 906,1 т.р.;
</t>
    </r>
    <r>
      <rPr>
        <b/>
        <sz val="14"/>
        <rFont val="Times New Roman"/>
        <family val="1"/>
        <charset val="204"/>
      </rPr>
      <t xml:space="preserve"> По КФСиТ:</t>
    </r>
    <r>
      <rPr>
        <sz val="14"/>
        <rFont val="Times New Roman"/>
        <family val="1"/>
        <charset val="204"/>
      </rPr>
      <t xml:space="preserve">
 -  для доведения ФОТ до расчетного на 1476,2 т.р.;
</t>
    </r>
    <r>
      <rPr>
        <b/>
        <sz val="14"/>
        <rFont val="Times New Roman"/>
        <family val="1"/>
        <charset val="204"/>
      </rPr>
      <t xml:space="preserve"> По Управлению по делам ГО и ЧС:</t>
    </r>
    <r>
      <rPr>
        <sz val="14"/>
        <rFont val="Times New Roman"/>
        <family val="1"/>
        <charset val="204"/>
      </rPr>
      <t xml:space="preserve">
 - на содержание очистных сооружений п. Рудничного на 309,3 т.р.; 
 - на оплату лицензии ФСБ на 142,2 т.р.;</t>
    </r>
  </si>
  <si>
    <t>900 1202 015 00 18002 800</t>
  </si>
  <si>
    <t>Администрация ФОТ, газета</t>
  </si>
  <si>
    <r>
      <rPr>
        <b/>
        <sz val="14"/>
        <rFont val="Times New Roman"/>
        <family val="1"/>
        <charset val="204"/>
      </rPr>
      <t xml:space="preserve">По КУМИ:
</t>
    </r>
    <r>
      <rPr>
        <sz val="14"/>
        <rFont val="Times New Roman"/>
        <family val="1"/>
        <charset val="204"/>
      </rPr>
      <t xml:space="preserve"> - по проведению капитальных ремонтов инженерной инфраструктуры на 3282,6 т.р.;</t>
    </r>
  </si>
  <si>
    <t>905 0113 020 00 15001 200</t>
  </si>
  <si>
    <t>УО</t>
  </si>
  <si>
    <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на оплату исполнительного листа по ремонту пола в шк. №38 на 2160,0 т.р.;
 - на монтаж АПС на 373,8 т.р.;
 - на оплату текущих расходов на 1500,0 т.р.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</si>
</sst>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0.00000"/>
    <numFmt numFmtId="166" formatCode="0.0000"/>
    <numFmt numFmtId="167" formatCode="0.000000"/>
  </numFmts>
  <fonts count="3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"/>
      <family val="1"/>
    </font>
    <font>
      <b/>
      <u/>
      <sz val="14"/>
      <name val="Arial Cyr"/>
      <charset val="204"/>
    </font>
    <font>
      <sz val="14"/>
      <color rgb="FF00B0F0"/>
      <name val="Arial Cyr"/>
      <charset val="204"/>
    </font>
    <font>
      <sz val="12"/>
      <color rgb="FF00B0F0"/>
      <name val="Times"/>
      <family val="1"/>
    </font>
    <font>
      <sz val="14"/>
      <color rgb="FFFF0000"/>
      <name val="Arial Cyr"/>
      <charset val="204"/>
    </font>
    <font>
      <b/>
      <sz val="10"/>
      <name val="Arial Cyr"/>
      <charset val="204"/>
    </font>
    <font>
      <b/>
      <sz val="16"/>
      <name val="Times New Roman"/>
      <family val="1"/>
      <charset val="204"/>
    </font>
    <font>
      <sz val="12"/>
      <color theme="9" tint="-0.249977111117893"/>
      <name val="Times"/>
      <family val="1"/>
    </font>
    <font>
      <sz val="14"/>
      <color theme="4" tint="-0.249977111117893"/>
      <name val="Times New Roman"/>
      <family val="1"/>
      <charset val="204"/>
    </font>
    <font>
      <b/>
      <u/>
      <sz val="12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84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0" fontId="29" fillId="0" borderId="0" xfId="0" applyFont="1" applyFill="1"/>
    <xf numFmtId="164" fontId="29" fillId="0" borderId="0" xfId="0" applyNumberFormat="1" applyFont="1" applyFill="1"/>
    <xf numFmtId="165" fontId="25" fillId="0" borderId="0" xfId="0" applyNumberFormat="1" applyFont="1" applyFill="1"/>
    <xf numFmtId="0" fontId="30" fillId="0" borderId="0" xfId="0" applyFont="1" applyFill="1"/>
    <xf numFmtId="49" fontId="8" fillId="0" borderId="17" xfId="0" applyNumberFormat="1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vertical="center" wrapText="1"/>
    </xf>
    <xf numFmtId="164" fontId="27" fillId="0" borderId="1" xfId="0" applyNumberFormat="1" applyFont="1" applyFill="1" applyBorder="1" applyAlignment="1">
      <alignment vertical="center"/>
    </xf>
    <xf numFmtId="0" fontId="26" fillId="0" borderId="9" xfId="0" applyFont="1" applyFill="1" applyBorder="1" applyAlignment="1">
      <alignment horizontal="left"/>
    </xf>
    <xf numFmtId="164" fontId="26" fillId="0" borderId="18" xfId="0" applyNumberFormat="1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vertical="center"/>
    </xf>
    <xf numFmtId="49" fontId="26" fillId="0" borderId="1" xfId="0" applyNumberFormat="1" applyFont="1" applyFill="1" applyBorder="1"/>
    <xf numFmtId="0" fontId="26" fillId="0" borderId="1" xfId="0" applyFont="1" applyFill="1" applyBorder="1"/>
    <xf numFmtId="164" fontId="26" fillId="0" borderId="1" xfId="0" applyNumberFormat="1" applyFont="1" applyFill="1" applyBorder="1"/>
    <xf numFmtId="0" fontId="25" fillId="0" borderId="0" xfId="0" applyFont="1" applyFill="1" applyAlignment="1">
      <alignment vertical="center"/>
    </xf>
    <xf numFmtId="0" fontId="6" fillId="0" borderId="1" xfId="0" applyFont="1" applyFill="1" applyBorder="1"/>
    <xf numFmtId="164" fontId="6" fillId="0" borderId="1" xfId="0" applyNumberFormat="1" applyFont="1" applyFill="1" applyBorder="1"/>
    <xf numFmtId="166" fontId="25" fillId="0" borderId="0" xfId="0" applyNumberFormat="1" applyFont="1" applyFill="1"/>
    <xf numFmtId="0" fontId="31" fillId="0" borderId="0" xfId="0" applyFont="1" applyFill="1"/>
    <xf numFmtId="0" fontId="32" fillId="0" borderId="0" xfId="0" applyFont="1" applyFill="1"/>
    <xf numFmtId="167" fontId="25" fillId="0" borderId="0" xfId="0" applyNumberFormat="1" applyFont="1" applyFill="1"/>
    <xf numFmtId="0" fontId="33" fillId="0" borderId="0" xfId="0" applyFont="1" applyFill="1"/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34" fillId="0" borderId="0" xfId="0" applyFont="1"/>
    <xf numFmtId="0" fontId="27" fillId="0" borderId="0" xfId="0" applyFont="1"/>
    <xf numFmtId="49" fontId="27" fillId="0" borderId="0" xfId="0" applyNumberFormat="1" applyFont="1" applyFill="1" applyBorder="1" applyAlignment="1">
      <alignment horizontal="left" wrapText="1"/>
    </xf>
    <xf numFmtId="0" fontId="27" fillId="0" borderId="2" xfId="0" applyFont="1" applyFill="1" applyBorder="1" applyAlignment="1">
      <alignment vertical="top" wrapText="1"/>
    </xf>
    <xf numFmtId="164" fontId="27" fillId="0" borderId="2" xfId="0" applyNumberFormat="1" applyFont="1" applyFill="1" applyBorder="1" applyAlignment="1">
      <alignment horizontal="center" vertical="center"/>
    </xf>
    <xf numFmtId="164" fontId="27" fillId="0" borderId="18" xfId="0" applyNumberFormat="1" applyFont="1" applyFill="1" applyBorder="1" applyAlignment="1">
      <alignment horizontal="right" vertical="top"/>
    </xf>
    <xf numFmtId="0" fontId="36" fillId="0" borderId="0" xfId="0" applyFont="1" applyFill="1"/>
    <xf numFmtId="0" fontId="36" fillId="0" borderId="1" xfId="0" applyFont="1" applyFill="1" applyBorder="1" applyAlignment="1">
      <alignment horizontal="right" wrapText="1"/>
    </xf>
    <xf numFmtId="164" fontId="36" fillId="0" borderId="0" xfId="0" applyNumberFormat="1" applyFont="1" applyFill="1"/>
    <xf numFmtId="2" fontId="36" fillId="0" borderId="0" xfId="2" applyNumberFormat="1" applyFont="1" applyFill="1"/>
    <xf numFmtId="2" fontId="36" fillId="0" borderId="0" xfId="0" applyNumberFormat="1" applyFont="1" applyFill="1"/>
    <xf numFmtId="2" fontId="36" fillId="0" borderId="0" xfId="2" applyNumberFormat="1" applyFont="1" applyFill="1" applyAlignment="1">
      <alignment horizontal="right" vertical="top"/>
    </xf>
    <xf numFmtId="0" fontId="37" fillId="0" borderId="0" xfId="0" applyFont="1" applyFill="1" applyAlignment="1">
      <alignment horizontal="left" vertical="top" wrapText="1"/>
    </xf>
    <xf numFmtId="16" fontId="37" fillId="0" borderId="0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164" fontId="27" fillId="0" borderId="9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top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/>
    </xf>
    <xf numFmtId="49" fontId="4" fillId="0" borderId="17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38" fillId="0" borderId="0" xfId="0" applyFont="1" applyFill="1"/>
    <xf numFmtId="0" fontId="4" fillId="0" borderId="7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64" fontId="27" fillId="0" borderId="1" xfId="0" applyNumberFormat="1" applyFont="1" applyFill="1" applyBorder="1"/>
    <xf numFmtId="0" fontId="4" fillId="0" borderId="1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164" fontId="22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left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vertical="top" wrapText="1"/>
    </xf>
    <xf numFmtId="0" fontId="27" fillId="0" borderId="1" xfId="0" applyFont="1" applyFill="1" applyBorder="1" applyAlignment="1">
      <alignment horizontal="center" wrapText="1"/>
    </xf>
    <xf numFmtId="0" fontId="27" fillId="0" borderId="0" xfId="0" applyFont="1" applyFill="1" applyAlignment="1">
      <alignment horizontal="left" vertical="top" wrapText="1"/>
    </xf>
    <xf numFmtId="16" fontId="27" fillId="0" borderId="0" xfId="0" applyNumberFormat="1" applyFont="1" applyFill="1" applyBorder="1" applyAlignment="1">
      <alignment wrapText="1"/>
    </xf>
    <xf numFmtId="0" fontId="27" fillId="0" borderId="0" xfId="0" applyFont="1" applyFill="1" applyAlignment="1">
      <alignment vertical="top" wrapText="1"/>
    </xf>
    <xf numFmtId="0" fontId="27" fillId="0" borderId="1" xfId="0" applyFont="1" applyFill="1" applyBorder="1" applyAlignment="1">
      <alignment vertical="justify"/>
    </xf>
    <xf numFmtId="164" fontId="2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justify"/>
    </xf>
    <xf numFmtId="0" fontId="9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vertical="justify"/>
    </xf>
    <xf numFmtId="164" fontId="24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justify"/>
    </xf>
    <xf numFmtId="164" fontId="27" fillId="0" borderId="0" xfId="0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17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7" fillId="0" borderId="1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left" wrapText="1"/>
    </xf>
    <xf numFmtId="0" fontId="24" fillId="0" borderId="9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24" fillId="0" borderId="17" xfId="0" applyNumberFormat="1" applyFont="1" applyFill="1" applyBorder="1" applyAlignment="1">
      <alignment horizontal="left" wrapText="1"/>
    </xf>
    <xf numFmtId="0" fontId="27" fillId="0" borderId="17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16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vertical="justify" wrapText="1"/>
    </xf>
    <xf numFmtId="0" fontId="24" fillId="0" borderId="17" xfId="0" applyFont="1" applyFill="1" applyBorder="1" applyAlignment="1">
      <alignment horizontal="left" vertical="center"/>
    </xf>
    <xf numFmtId="16" fontId="27" fillId="0" borderId="0" xfId="0" applyNumberFormat="1" applyFont="1" applyFill="1" applyBorder="1" applyAlignment="1">
      <alignment horizontal="left" vertical="top" wrapText="1"/>
    </xf>
    <xf numFmtId="16" fontId="24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Alignment="1">
      <alignment horizontal="right" wrapText="1"/>
    </xf>
    <xf numFmtId="49" fontId="26" fillId="0" borderId="1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49" fontId="26" fillId="0" borderId="1" xfId="0" applyNumberFormat="1" applyFont="1" applyFill="1" applyBorder="1" applyAlignment="1">
      <alignment horizontal="left"/>
    </xf>
    <xf numFmtId="0" fontId="27" fillId="0" borderId="2" xfId="0" applyFont="1" applyFill="1" applyBorder="1" applyAlignment="1">
      <alignment horizontal="center" vertical="top" wrapText="1"/>
    </xf>
    <xf numFmtId="0" fontId="27" fillId="0" borderId="8" xfId="0" applyFont="1" applyFill="1" applyBorder="1" applyAlignment="1">
      <alignment horizontal="center" vertical="top" wrapText="1"/>
    </xf>
    <xf numFmtId="164" fontId="27" fillId="0" borderId="2" xfId="0" applyNumberFormat="1" applyFont="1" applyFill="1" applyBorder="1" applyAlignment="1">
      <alignment horizontal="right" vertical="center"/>
    </xf>
    <xf numFmtId="164" fontId="27" fillId="0" borderId="8" xfId="0" applyNumberFormat="1" applyFont="1" applyFill="1" applyBorder="1" applyAlignment="1">
      <alignment horizontal="right" vertical="center"/>
    </xf>
    <xf numFmtId="164" fontId="27" fillId="0" borderId="9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wrapText="1"/>
    </xf>
    <xf numFmtId="164" fontId="27" fillId="0" borderId="1" xfId="0" applyNumberFormat="1" applyFont="1" applyFill="1" applyBorder="1" applyAlignment="1">
      <alignment horizontal="right" vertical="top"/>
    </xf>
    <xf numFmtId="0" fontId="27" fillId="0" borderId="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left" wrapText="1"/>
    </xf>
    <xf numFmtId="0" fontId="35" fillId="0" borderId="0" xfId="0" applyFont="1" applyAlignment="1">
      <alignment horizontal="center"/>
    </xf>
    <xf numFmtId="0" fontId="27" fillId="0" borderId="0" xfId="0" applyNumberFormat="1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/>
    </xf>
    <xf numFmtId="0" fontId="27" fillId="0" borderId="0" xfId="0" applyFont="1" applyAlignment="1">
      <alignment horizontal="left" wrapText="1"/>
    </xf>
  </cellXfs>
  <cellStyles count="3">
    <cellStyle name="Обычный" xfId="0" builtinId="0"/>
    <cellStyle name="Процент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224" t="s">
        <v>0</v>
      </c>
      <c r="B1" s="224"/>
      <c r="C1" s="224"/>
      <c r="D1" s="224"/>
      <c r="E1" s="224"/>
      <c r="F1" s="224"/>
    </row>
    <row r="2" spans="1:8" ht="66.75" customHeight="1" x14ac:dyDescent="0.2">
      <c r="A2" s="225" t="s">
        <v>79</v>
      </c>
      <c r="B2" s="225"/>
      <c r="C2" s="225"/>
      <c r="D2" s="225"/>
      <c r="E2" s="225"/>
      <c r="F2" s="225"/>
    </row>
    <row r="3" spans="1:8" ht="15.75" customHeight="1" x14ac:dyDescent="0.3">
      <c r="A3" s="217" t="s">
        <v>90</v>
      </c>
      <c r="B3" s="217"/>
      <c r="C3" s="217"/>
      <c r="D3" s="217"/>
      <c r="E3" s="217"/>
      <c r="F3" s="217"/>
      <c r="G3" s="6"/>
      <c r="H3" s="6"/>
    </row>
    <row r="4" spans="1:8" ht="65.25" customHeight="1" x14ac:dyDescent="0.3">
      <c r="A4" s="226" t="s">
        <v>222</v>
      </c>
      <c r="B4" s="226"/>
      <c r="C4" s="226"/>
      <c r="D4" s="226"/>
      <c r="E4" s="226"/>
      <c r="F4" s="226"/>
      <c r="G4" s="6"/>
      <c r="H4" s="6"/>
    </row>
    <row r="5" spans="1:8" ht="18.75" customHeight="1" x14ac:dyDescent="0.3">
      <c r="A5" s="227" t="s">
        <v>233</v>
      </c>
      <c r="B5" s="227"/>
      <c r="C5" s="227"/>
      <c r="D5" s="227"/>
      <c r="E5" s="227"/>
      <c r="F5" s="227"/>
      <c r="G5" s="6"/>
      <c r="H5" s="6"/>
    </row>
    <row r="6" spans="1:8" ht="18.75" customHeight="1" x14ac:dyDescent="0.3">
      <c r="A6" s="227" t="s">
        <v>234</v>
      </c>
      <c r="B6" s="227"/>
      <c r="C6" s="227"/>
      <c r="D6" s="227"/>
      <c r="E6" s="227"/>
      <c r="F6" s="227"/>
      <c r="G6" s="6"/>
      <c r="H6" s="6"/>
    </row>
    <row r="7" spans="1:8" ht="17.25" customHeight="1" x14ac:dyDescent="0.3">
      <c r="A7" s="227" t="s">
        <v>235</v>
      </c>
      <c r="B7" s="227"/>
      <c r="C7" s="227"/>
      <c r="D7" s="227"/>
      <c r="E7" s="227"/>
      <c r="F7" s="227"/>
      <c r="G7" s="6"/>
      <c r="H7" s="6"/>
    </row>
    <row r="8" spans="1:8" ht="15.75" customHeight="1" x14ac:dyDescent="0.3">
      <c r="A8" s="217" t="s">
        <v>236</v>
      </c>
      <c r="B8" s="217"/>
      <c r="C8" s="217"/>
      <c r="D8" s="217"/>
      <c r="E8" s="217"/>
      <c r="F8" s="217"/>
      <c r="G8" s="6"/>
      <c r="H8" s="6"/>
    </row>
    <row r="9" spans="1:8" ht="35.25" customHeight="1" x14ac:dyDescent="0.3">
      <c r="A9" s="228" t="s">
        <v>91</v>
      </c>
      <c r="B9" s="228"/>
      <c r="C9" s="228"/>
      <c r="D9" s="228"/>
      <c r="E9" s="228"/>
      <c r="F9" s="228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229" t="s">
        <v>242</v>
      </c>
      <c r="B27" s="229"/>
      <c r="C27" s="229"/>
      <c r="D27" s="229"/>
      <c r="E27" s="229"/>
      <c r="F27" s="229"/>
      <c r="G27" s="6"/>
      <c r="H27" s="6"/>
    </row>
    <row r="28" spans="1:8" ht="28.5" customHeight="1" x14ac:dyDescent="0.3">
      <c r="A28" s="221" t="s">
        <v>243</v>
      </c>
      <c r="B28" s="221"/>
      <c r="C28" s="221"/>
      <c r="D28" s="221"/>
      <c r="E28" s="221"/>
      <c r="F28" s="221"/>
      <c r="G28" s="6"/>
      <c r="H28" s="6"/>
    </row>
    <row r="29" spans="1:8" ht="19.5" customHeight="1" x14ac:dyDescent="0.3">
      <c r="A29" s="221"/>
      <c r="B29" s="221"/>
      <c r="C29" s="221"/>
      <c r="D29" s="221"/>
      <c r="E29" s="221"/>
      <c r="F29" s="221"/>
      <c r="G29" s="6"/>
      <c r="H29" s="6"/>
    </row>
    <row r="30" spans="1:8" ht="20.25" customHeight="1" x14ac:dyDescent="0.25">
      <c r="A30" s="222" t="s">
        <v>238</v>
      </c>
      <c r="B30" s="222"/>
      <c r="C30" s="222"/>
      <c r="D30" s="222"/>
      <c r="E30" s="222"/>
      <c r="F30" s="222"/>
    </row>
    <row r="31" spans="1:8" ht="52.5" customHeight="1" x14ac:dyDescent="0.25">
      <c r="A31" s="217" t="s">
        <v>239</v>
      </c>
      <c r="B31" s="217"/>
      <c r="C31" s="217"/>
      <c r="D31" s="217"/>
      <c r="E31" s="217"/>
      <c r="F31" s="217"/>
    </row>
    <row r="32" spans="1:8" ht="21.75" customHeight="1" x14ac:dyDescent="0.25">
      <c r="A32" s="223" t="s">
        <v>31</v>
      </c>
      <c r="B32" s="223"/>
      <c r="C32" s="223"/>
      <c r="D32" s="223"/>
      <c r="E32" s="223"/>
      <c r="F32" s="223"/>
    </row>
    <row r="33" spans="1:6" ht="102.75" customHeight="1" x14ac:dyDescent="0.25">
      <c r="A33" s="217" t="s">
        <v>197</v>
      </c>
      <c r="B33" s="217"/>
      <c r="C33" s="217"/>
      <c r="D33" s="217"/>
      <c r="E33" s="217"/>
      <c r="F33" s="217"/>
    </row>
    <row r="34" spans="1:6" ht="17.25" customHeight="1" x14ac:dyDescent="0.25">
      <c r="A34" s="217" t="s">
        <v>38</v>
      </c>
      <c r="B34" s="217"/>
      <c r="C34" s="217"/>
      <c r="D34" s="217"/>
      <c r="E34" s="217"/>
      <c r="F34" s="217"/>
    </row>
    <row r="35" spans="1:6" ht="35.25" customHeight="1" x14ac:dyDescent="0.25">
      <c r="A35" s="217" t="s">
        <v>108</v>
      </c>
      <c r="B35" s="217"/>
      <c r="C35" s="217"/>
      <c r="D35" s="217"/>
      <c r="E35" s="217"/>
      <c r="F35" s="217"/>
    </row>
    <row r="36" spans="1:6" ht="35.25" customHeight="1" x14ac:dyDescent="0.25">
      <c r="A36" s="217" t="s">
        <v>196</v>
      </c>
      <c r="B36" s="217"/>
      <c r="C36" s="217"/>
      <c r="D36" s="217"/>
      <c r="E36" s="217"/>
      <c r="F36" s="217"/>
    </row>
    <row r="37" spans="1:6" ht="21.75" customHeight="1" x14ac:dyDescent="0.25">
      <c r="A37" s="217" t="s">
        <v>72</v>
      </c>
      <c r="B37" s="217"/>
      <c r="C37" s="217"/>
      <c r="D37" s="217"/>
      <c r="E37" s="217"/>
      <c r="F37" s="217"/>
    </row>
    <row r="38" spans="1:6" ht="84" customHeight="1" x14ac:dyDescent="0.25">
      <c r="A38" s="217" t="s">
        <v>195</v>
      </c>
      <c r="B38" s="217"/>
      <c r="C38" s="217"/>
      <c r="D38" s="217"/>
      <c r="E38" s="217"/>
      <c r="F38" s="217"/>
    </row>
    <row r="39" spans="1:6" s="67" customFormat="1" ht="65.25" customHeight="1" x14ac:dyDescent="0.25">
      <c r="A39" s="218" t="s">
        <v>113</v>
      </c>
      <c r="B39" s="218"/>
      <c r="C39" s="218"/>
      <c r="D39" s="218"/>
      <c r="E39" s="218"/>
      <c r="F39" s="218"/>
    </row>
    <row r="40" spans="1:6" ht="19.5" customHeight="1" x14ac:dyDescent="0.25">
      <c r="A40" s="217" t="s">
        <v>37</v>
      </c>
      <c r="B40" s="217"/>
      <c r="C40" s="217"/>
      <c r="D40" s="217"/>
      <c r="E40" s="217"/>
      <c r="F40" s="217"/>
    </row>
    <row r="41" spans="1:6" ht="17.25" customHeight="1" x14ac:dyDescent="0.25">
      <c r="A41" s="217" t="s">
        <v>70</v>
      </c>
      <c r="B41" s="217"/>
      <c r="C41" s="217"/>
      <c r="D41" s="217"/>
      <c r="E41" s="217"/>
      <c r="F41" s="217"/>
    </row>
    <row r="42" spans="1:6" ht="87" customHeight="1" x14ac:dyDescent="0.25">
      <c r="A42" s="217" t="s">
        <v>226</v>
      </c>
      <c r="B42" s="217"/>
      <c r="C42" s="217"/>
      <c r="D42" s="217"/>
      <c r="E42" s="217"/>
      <c r="F42" s="217"/>
    </row>
    <row r="43" spans="1:6" ht="19.5" customHeight="1" x14ac:dyDescent="0.25">
      <c r="A43" s="217" t="s">
        <v>72</v>
      </c>
      <c r="B43" s="217"/>
      <c r="C43" s="217"/>
      <c r="D43" s="217"/>
      <c r="E43" s="217"/>
      <c r="F43" s="217"/>
    </row>
    <row r="44" spans="1:6" ht="68.25" customHeight="1" x14ac:dyDescent="0.25">
      <c r="A44" s="217" t="s">
        <v>128</v>
      </c>
      <c r="B44" s="217"/>
      <c r="C44" s="217"/>
      <c r="D44" s="217"/>
      <c r="E44" s="217"/>
      <c r="F44" s="217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209" t="s">
        <v>2</v>
      </c>
      <c r="C46" s="209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72" t="s">
        <v>30</v>
      </c>
      <c r="B47" s="219" t="s">
        <v>117</v>
      </c>
      <c r="C47" s="220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195"/>
      <c r="B48" s="219" t="s">
        <v>95</v>
      </c>
      <c r="C48" s="220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72" t="s">
        <v>8</v>
      </c>
      <c r="B49" s="219" t="s">
        <v>118</v>
      </c>
      <c r="C49" s="220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73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73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72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73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73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73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73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73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73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73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195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182"/>
      <c r="C61" s="182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216" t="s">
        <v>29</v>
      </c>
      <c r="B63" s="216"/>
      <c r="C63" s="216"/>
      <c r="D63" s="216"/>
      <c r="E63" s="216"/>
      <c r="F63" s="216"/>
    </row>
    <row r="64" spans="1:8" ht="106.5" customHeight="1" x14ac:dyDescent="0.25">
      <c r="A64" s="214" t="s">
        <v>240</v>
      </c>
      <c r="B64" s="214"/>
      <c r="C64" s="214"/>
      <c r="D64" s="214"/>
      <c r="E64" s="214"/>
      <c r="F64" s="214"/>
    </row>
    <row r="65" spans="1:6" ht="65.25" customHeight="1" x14ac:dyDescent="0.25">
      <c r="A65" s="208" t="s">
        <v>198</v>
      </c>
      <c r="B65" s="214"/>
      <c r="C65" s="214"/>
      <c r="D65" s="214"/>
      <c r="E65" s="214"/>
      <c r="F65" s="214"/>
    </row>
    <row r="66" spans="1:6" ht="36.75" customHeight="1" x14ac:dyDescent="0.25">
      <c r="A66" s="208" t="s">
        <v>121</v>
      </c>
      <c r="B66" s="214"/>
      <c r="C66" s="214"/>
      <c r="D66" s="214"/>
      <c r="E66" s="214"/>
      <c r="F66" s="214"/>
    </row>
    <row r="67" spans="1:6" ht="68.25" customHeight="1" x14ac:dyDescent="0.25">
      <c r="A67" s="208" t="s">
        <v>171</v>
      </c>
      <c r="B67" s="208"/>
      <c r="C67" s="208"/>
      <c r="D67" s="208"/>
      <c r="E67" s="208"/>
      <c r="F67" s="208"/>
    </row>
    <row r="68" spans="1:6" ht="87.75" customHeight="1" x14ac:dyDescent="0.25">
      <c r="A68" s="208" t="s">
        <v>227</v>
      </c>
      <c r="B68" s="208"/>
      <c r="C68" s="208"/>
      <c r="D68" s="208"/>
      <c r="E68" s="208"/>
      <c r="F68" s="208"/>
    </row>
    <row r="69" spans="1:6" ht="20.25" customHeight="1" x14ac:dyDescent="0.25">
      <c r="A69" s="213" t="s">
        <v>32</v>
      </c>
      <c r="B69" s="213"/>
      <c r="C69" s="213"/>
      <c r="D69" s="213"/>
      <c r="E69" s="213"/>
      <c r="F69" s="213"/>
    </row>
    <row r="70" spans="1:6" ht="114" customHeight="1" x14ac:dyDescent="0.25">
      <c r="A70" s="215" t="s">
        <v>201</v>
      </c>
      <c r="B70" s="215"/>
      <c r="C70" s="215"/>
      <c r="D70" s="215"/>
      <c r="E70" s="215"/>
      <c r="F70" s="215"/>
    </row>
    <row r="71" spans="1:6" ht="71.25" customHeight="1" x14ac:dyDescent="0.25">
      <c r="A71" s="215" t="s">
        <v>190</v>
      </c>
      <c r="B71" s="215"/>
      <c r="C71" s="215"/>
      <c r="D71" s="215"/>
      <c r="E71" s="215"/>
      <c r="F71" s="215"/>
    </row>
    <row r="72" spans="1:6" ht="83.25" customHeight="1" x14ac:dyDescent="0.25">
      <c r="A72" s="215" t="s">
        <v>228</v>
      </c>
      <c r="B72" s="215"/>
      <c r="C72" s="215"/>
      <c r="D72" s="215"/>
      <c r="E72" s="215"/>
      <c r="F72" s="215"/>
    </row>
    <row r="73" spans="1:6" ht="38.25" customHeight="1" x14ac:dyDescent="0.25">
      <c r="A73" s="215" t="s">
        <v>191</v>
      </c>
      <c r="B73" s="215"/>
      <c r="C73" s="215"/>
      <c r="D73" s="215"/>
      <c r="E73" s="215"/>
      <c r="F73" s="215"/>
    </row>
    <row r="74" spans="1:6" ht="82.5" customHeight="1" x14ac:dyDescent="0.25">
      <c r="A74" s="215" t="s">
        <v>202</v>
      </c>
      <c r="B74" s="215"/>
      <c r="C74" s="215"/>
      <c r="D74" s="215"/>
      <c r="E74" s="215"/>
      <c r="F74" s="215"/>
    </row>
    <row r="75" spans="1:6" ht="18.75" customHeight="1" x14ac:dyDescent="0.25">
      <c r="A75" s="213" t="s">
        <v>35</v>
      </c>
      <c r="B75" s="213"/>
      <c r="C75" s="213"/>
      <c r="D75" s="213"/>
      <c r="E75" s="213"/>
      <c r="F75" s="213"/>
    </row>
    <row r="76" spans="1:6" ht="20.25" customHeight="1" x14ac:dyDescent="0.25">
      <c r="A76" s="215" t="s">
        <v>80</v>
      </c>
      <c r="B76" s="215"/>
      <c r="C76" s="215"/>
      <c r="D76" s="215"/>
      <c r="E76" s="215"/>
      <c r="F76" s="215"/>
    </row>
    <row r="77" spans="1:6" ht="87" customHeight="1" x14ac:dyDescent="0.25">
      <c r="A77" s="215" t="s">
        <v>186</v>
      </c>
      <c r="B77" s="215"/>
      <c r="C77" s="215"/>
      <c r="D77" s="215"/>
      <c r="E77" s="215"/>
      <c r="F77" s="215"/>
    </row>
    <row r="78" spans="1:6" ht="48" customHeight="1" x14ac:dyDescent="0.25">
      <c r="A78" s="215" t="s">
        <v>203</v>
      </c>
      <c r="B78" s="215"/>
      <c r="C78" s="215"/>
      <c r="D78" s="215"/>
      <c r="E78" s="215"/>
      <c r="F78" s="215"/>
    </row>
    <row r="79" spans="1:6" ht="48.75" customHeight="1" x14ac:dyDescent="0.25">
      <c r="A79" s="215" t="s">
        <v>126</v>
      </c>
      <c r="B79" s="215"/>
      <c r="C79" s="215"/>
      <c r="D79" s="215"/>
      <c r="E79" s="215"/>
      <c r="F79" s="215"/>
    </row>
    <row r="80" spans="1:6" ht="48.75" customHeight="1" x14ac:dyDescent="0.25">
      <c r="A80" s="215" t="s">
        <v>184</v>
      </c>
      <c r="B80" s="215"/>
      <c r="C80" s="215"/>
      <c r="D80" s="215"/>
      <c r="E80" s="215"/>
      <c r="F80" s="215"/>
    </row>
    <row r="81" spans="1:6" ht="48.75" customHeight="1" x14ac:dyDescent="0.25">
      <c r="A81" s="215" t="s">
        <v>204</v>
      </c>
      <c r="B81" s="215"/>
      <c r="C81" s="215"/>
      <c r="D81" s="215"/>
      <c r="E81" s="215"/>
      <c r="F81" s="215"/>
    </row>
    <row r="82" spans="1:6" ht="21" customHeight="1" x14ac:dyDescent="0.2">
      <c r="A82" s="212" t="s">
        <v>199</v>
      </c>
      <c r="B82" s="212"/>
      <c r="C82" s="212"/>
      <c r="D82" s="212"/>
      <c r="E82" s="212"/>
      <c r="F82" s="212"/>
    </row>
    <row r="83" spans="1:6" ht="20.25" customHeight="1" x14ac:dyDescent="0.25">
      <c r="A83" s="215" t="s">
        <v>80</v>
      </c>
      <c r="B83" s="215"/>
      <c r="C83" s="215"/>
      <c r="D83" s="215"/>
      <c r="E83" s="215"/>
      <c r="F83" s="215"/>
    </row>
    <row r="84" spans="1:6" ht="68.25" customHeight="1" x14ac:dyDescent="0.25">
      <c r="A84" s="208" t="s">
        <v>200</v>
      </c>
      <c r="B84" s="208"/>
      <c r="C84" s="208"/>
      <c r="D84" s="208"/>
      <c r="E84" s="208"/>
      <c r="F84" s="208"/>
    </row>
    <row r="85" spans="1:6" ht="24.75" hidden="1" customHeight="1" x14ac:dyDescent="0.25">
      <c r="A85" s="213" t="s">
        <v>85</v>
      </c>
      <c r="B85" s="213"/>
      <c r="C85" s="213"/>
      <c r="D85" s="213"/>
      <c r="E85" s="213"/>
      <c r="F85" s="213"/>
    </row>
    <row r="86" spans="1:6" ht="18" customHeight="1" x14ac:dyDescent="0.25">
      <c r="A86" s="214" t="s">
        <v>31</v>
      </c>
      <c r="B86" s="214"/>
      <c r="C86" s="214"/>
      <c r="D86" s="214"/>
      <c r="E86" s="214"/>
      <c r="F86" s="214"/>
    </row>
    <row r="87" spans="1:6" ht="32.25" customHeight="1" x14ac:dyDescent="0.3">
      <c r="A87" s="211" t="s">
        <v>129</v>
      </c>
      <c r="B87" s="211"/>
      <c r="C87" s="211"/>
      <c r="D87" s="211"/>
      <c r="E87" s="211"/>
      <c r="F87" s="211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208" t="s">
        <v>130</v>
      </c>
      <c r="B89" s="208"/>
      <c r="C89" s="208"/>
      <c r="D89" s="208"/>
      <c r="E89" s="208"/>
      <c r="F89" s="208"/>
    </row>
    <row r="90" spans="1:6" ht="21" customHeight="1" x14ac:dyDescent="0.25">
      <c r="A90" s="208" t="s">
        <v>224</v>
      </c>
      <c r="B90" s="208"/>
      <c r="C90" s="208"/>
      <c r="D90" s="208"/>
      <c r="E90" s="208"/>
      <c r="F90" s="208"/>
    </row>
    <row r="91" spans="1:6" ht="21" customHeight="1" x14ac:dyDescent="0.25">
      <c r="A91" s="208" t="s">
        <v>131</v>
      </c>
      <c r="B91" s="208"/>
      <c r="C91" s="208"/>
      <c r="D91" s="208"/>
      <c r="E91" s="208"/>
      <c r="F91" s="208"/>
    </row>
    <row r="92" spans="1:6" ht="21" customHeight="1" x14ac:dyDescent="0.25">
      <c r="A92" s="208" t="s">
        <v>150</v>
      </c>
      <c r="B92" s="208"/>
      <c r="C92" s="208"/>
      <c r="D92" s="208"/>
      <c r="E92" s="208"/>
      <c r="F92" s="208"/>
    </row>
    <row r="93" spans="1:6" ht="21" customHeight="1" x14ac:dyDescent="0.25">
      <c r="A93" s="208" t="s">
        <v>132</v>
      </c>
      <c r="B93" s="208"/>
      <c r="C93" s="208"/>
      <c r="D93" s="208"/>
      <c r="E93" s="208"/>
      <c r="F93" s="208"/>
    </row>
    <row r="94" spans="1:6" ht="39" customHeight="1" x14ac:dyDescent="0.25">
      <c r="A94" s="208" t="s">
        <v>133</v>
      </c>
      <c r="B94" s="208"/>
      <c r="C94" s="208"/>
      <c r="D94" s="208"/>
      <c r="E94" s="208"/>
      <c r="F94" s="208"/>
    </row>
    <row r="95" spans="1:6" ht="72.75" customHeight="1" x14ac:dyDescent="0.25">
      <c r="A95" s="208" t="s">
        <v>229</v>
      </c>
      <c r="B95" s="208"/>
      <c r="C95" s="208"/>
      <c r="D95" s="208"/>
      <c r="E95" s="208"/>
      <c r="F95" s="208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208" t="s">
        <v>134</v>
      </c>
      <c r="B97" s="208"/>
      <c r="C97" s="208"/>
      <c r="D97" s="208"/>
      <c r="E97" s="208"/>
      <c r="F97" s="208"/>
    </row>
    <row r="98" spans="1:6" ht="21" customHeight="1" x14ac:dyDescent="0.25">
      <c r="A98" s="208" t="s">
        <v>135</v>
      </c>
      <c r="B98" s="208"/>
      <c r="C98" s="208"/>
      <c r="D98" s="208"/>
      <c r="E98" s="208"/>
      <c r="F98" s="208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208" t="s">
        <v>136</v>
      </c>
      <c r="B100" s="208"/>
      <c r="C100" s="208"/>
      <c r="D100" s="208"/>
      <c r="E100" s="208"/>
      <c r="F100" s="208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208" t="s">
        <v>137</v>
      </c>
      <c r="B102" s="208"/>
      <c r="C102" s="208"/>
      <c r="D102" s="208"/>
      <c r="E102" s="208"/>
      <c r="F102" s="208"/>
    </row>
    <row r="103" spans="1:6" ht="21" customHeight="1" x14ac:dyDescent="0.25">
      <c r="A103" s="208" t="s">
        <v>225</v>
      </c>
      <c r="B103" s="208"/>
      <c r="C103" s="208"/>
      <c r="D103" s="208"/>
      <c r="E103" s="208"/>
      <c r="F103" s="208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208" t="s">
        <v>143</v>
      </c>
      <c r="B105" s="208"/>
      <c r="C105" s="208"/>
      <c r="D105" s="208"/>
      <c r="E105" s="208"/>
      <c r="F105" s="208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208" t="s">
        <v>138</v>
      </c>
      <c r="B107" s="208"/>
      <c r="C107" s="208"/>
      <c r="D107" s="208"/>
      <c r="E107" s="208"/>
      <c r="F107" s="208"/>
    </row>
    <row r="108" spans="1:6" ht="32.25" customHeight="1" x14ac:dyDescent="0.25">
      <c r="A108" s="208" t="s">
        <v>141</v>
      </c>
      <c r="B108" s="208"/>
      <c r="C108" s="208"/>
      <c r="D108" s="208"/>
      <c r="E108" s="208"/>
      <c r="F108" s="208"/>
    </row>
    <row r="109" spans="1:6" ht="21" customHeight="1" x14ac:dyDescent="0.25">
      <c r="A109" s="208" t="s">
        <v>139</v>
      </c>
      <c r="B109" s="208"/>
      <c r="C109" s="208"/>
      <c r="D109" s="208"/>
      <c r="E109" s="208"/>
      <c r="F109" s="208"/>
    </row>
    <row r="110" spans="1:6" ht="21" customHeight="1" x14ac:dyDescent="0.25">
      <c r="A110" s="208" t="s">
        <v>140</v>
      </c>
      <c r="B110" s="208"/>
      <c r="C110" s="208"/>
      <c r="D110" s="208"/>
      <c r="E110" s="208"/>
      <c r="F110" s="208"/>
    </row>
    <row r="111" spans="1:6" ht="18" customHeight="1" x14ac:dyDescent="0.3">
      <c r="A111" s="211" t="s">
        <v>87</v>
      </c>
      <c r="B111" s="211"/>
      <c r="C111" s="211"/>
      <c r="D111" s="211"/>
      <c r="E111" s="211"/>
      <c r="F111" s="211"/>
    </row>
    <row r="112" spans="1:6" ht="51" customHeight="1" x14ac:dyDescent="0.25">
      <c r="A112" s="210" t="s">
        <v>174</v>
      </c>
      <c r="B112" s="210"/>
      <c r="C112" s="210"/>
      <c r="D112" s="210"/>
      <c r="E112" s="210"/>
      <c r="F112" s="210"/>
    </row>
    <row r="113" spans="1:14" ht="18" customHeight="1" x14ac:dyDescent="0.3">
      <c r="A113" s="211" t="s">
        <v>81</v>
      </c>
      <c r="B113" s="211"/>
      <c r="C113" s="211"/>
      <c r="D113" s="211"/>
      <c r="E113" s="211"/>
      <c r="F113" s="211"/>
    </row>
    <row r="114" spans="1:14" s="68" customFormat="1" ht="18" customHeight="1" x14ac:dyDescent="0.25">
      <c r="A114" s="210" t="s">
        <v>86</v>
      </c>
      <c r="B114" s="210"/>
      <c r="C114" s="210"/>
      <c r="D114" s="210"/>
      <c r="E114" s="210"/>
      <c r="F114" s="210"/>
    </row>
    <row r="115" spans="1:14" ht="34.5" customHeight="1" x14ac:dyDescent="0.25">
      <c r="A115" s="210" t="s">
        <v>175</v>
      </c>
      <c r="B115" s="210"/>
      <c r="C115" s="210"/>
      <c r="D115" s="210"/>
      <c r="E115" s="210"/>
      <c r="F115" s="210"/>
    </row>
    <row r="116" spans="1:14" ht="18" customHeight="1" x14ac:dyDescent="0.3">
      <c r="A116" s="211" t="s">
        <v>194</v>
      </c>
      <c r="B116" s="211"/>
      <c r="C116" s="211"/>
      <c r="D116" s="211"/>
      <c r="E116" s="211"/>
      <c r="F116" s="211"/>
    </row>
    <row r="117" spans="1:14" s="68" customFormat="1" ht="18" customHeight="1" x14ac:dyDescent="0.25">
      <c r="A117" s="210" t="s">
        <v>230</v>
      </c>
      <c r="B117" s="210"/>
      <c r="C117" s="210"/>
      <c r="D117" s="210"/>
      <c r="E117" s="210"/>
      <c r="F117" s="210"/>
    </row>
    <row r="118" spans="1:14" ht="17.25" customHeight="1" x14ac:dyDescent="0.25">
      <c r="A118" s="210" t="s">
        <v>231</v>
      </c>
      <c r="B118" s="210"/>
      <c r="C118" s="210"/>
      <c r="D118" s="210"/>
      <c r="E118" s="210"/>
      <c r="F118" s="210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209" t="s">
        <v>2</v>
      </c>
      <c r="C120" s="209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72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73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73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73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73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73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73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73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73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73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73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73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73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73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73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73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73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73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73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73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73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73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73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205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205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205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205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205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205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205"/>
      <c r="B150" s="206" t="s">
        <v>123</v>
      </c>
      <c r="C150" s="207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205"/>
      <c r="B151" s="174" t="s">
        <v>125</v>
      </c>
      <c r="C151" s="175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205"/>
      <c r="B152" s="174" t="s">
        <v>152</v>
      </c>
      <c r="C152" s="175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205"/>
      <c r="B153" s="174" t="s">
        <v>192</v>
      </c>
      <c r="C153" s="175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205"/>
      <c r="B154" s="174" t="s">
        <v>124</v>
      </c>
      <c r="C154" s="175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72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73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73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73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73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73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73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73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73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73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73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73"/>
      <c r="B166" s="174" t="s">
        <v>142</v>
      </c>
      <c r="C166" s="175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73"/>
      <c r="B167" s="174" t="s">
        <v>177</v>
      </c>
      <c r="C167" s="175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73"/>
      <c r="B168" s="174" t="s">
        <v>176</v>
      </c>
      <c r="C168" s="175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195"/>
      <c r="B169" s="174" t="s">
        <v>182</v>
      </c>
      <c r="C169" s="175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205" t="s">
        <v>14</v>
      </c>
      <c r="B170" s="174" t="s">
        <v>54</v>
      </c>
      <c r="C170" s="175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205"/>
      <c r="B171" s="174" t="s">
        <v>40</v>
      </c>
      <c r="C171" s="175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205"/>
      <c r="B172" s="174" t="s">
        <v>42</v>
      </c>
      <c r="C172" s="175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205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205"/>
      <c r="B174" s="174" t="s">
        <v>73</v>
      </c>
      <c r="C174" s="175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205"/>
      <c r="B175" s="174" t="s">
        <v>41</v>
      </c>
      <c r="C175" s="175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174" t="s">
        <v>74</v>
      </c>
      <c r="C176" s="175"/>
      <c r="D176" s="36">
        <v>0</v>
      </c>
      <c r="E176" s="39"/>
      <c r="F176" s="35">
        <f t="shared" si="2"/>
        <v>0</v>
      </c>
    </row>
    <row r="177" spans="1:6" ht="15.75" x14ac:dyDescent="0.25">
      <c r="A177" s="172" t="s">
        <v>25</v>
      </c>
      <c r="B177" s="174" t="s">
        <v>116</v>
      </c>
      <c r="C177" s="175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73"/>
      <c r="B178" s="174" t="s">
        <v>115</v>
      </c>
      <c r="C178" s="175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73"/>
      <c r="B179" s="174" t="s">
        <v>101</v>
      </c>
      <c r="C179" s="175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73"/>
      <c r="B180" s="174" t="s">
        <v>100</v>
      </c>
      <c r="C180" s="175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73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195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174" t="s">
        <v>71</v>
      </c>
      <c r="C183" s="175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72" t="s">
        <v>26</v>
      </c>
      <c r="B184" s="174" t="s">
        <v>93</v>
      </c>
      <c r="C184" s="175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73"/>
      <c r="B185" s="174" t="s">
        <v>65</v>
      </c>
      <c r="C185" s="175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73"/>
      <c r="B186" s="174" t="s">
        <v>97</v>
      </c>
      <c r="C186" s="175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73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73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73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73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73"/>
      <c r="B191" s="174" t="s">
        <v>145</v>
      </c>
      <c r="C191" s="175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73"/>
      <c r="B192" s="174" t="s">
        <v>99</v>
      </c>
      <c r="C192" s="175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73"/>
      <c r="B193" s="174" t="s">
        <v>144</v>
      </c>
      <c r="C193" s="175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73"/>
      <c r="B194" s="174" t="s">
        <v>146</v>
      </c>
      <c r="C194" s="175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182"/>
      <c r="C195" s="182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196" t="s">
        <v>241</v>
      </c>
      <c r="B197" s="196"/>
      <c r="C197" s="196"/>
      <c r="D197" s="196"/>
      <c r="E197" s="196"/>
      <c r="F197" s="196"/>
    </row>
    <row r="198" spans="1:13" ht="16.5" customHeight="1" x14ac:dyDescent="0.25">
      <c r="A198" s="196" t="s">
        <v>232</v>
      </c>
      <c r="B198" s="196"/>
      <c r="C198" s="196"/>
      <c r="D198" s="196"/>
      <c r="E198" s="196"/>
      <c r="F198" s="196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203" t="s">
        <v>10</v>
      </c>
      <c r="B200" s="204"/>
      <c r="C200" s="171" t="s">
        <v>11</v>
      </c>
      <c r="D200" s="171"/>
      <c r="E200" s="171"/>
      <c r="F200" s="171"/>
    </row>
    <row r="201" spans="1:13" ht="17.25" customHeight="1" x14ac:dyDescent="0.25">
      <c r="A201" s="41" t="s">
        <v>12</v>
      </c>
      <c r="B201" s="72">
        <v>33.5</v>
      </c>
      <c r="C201" s="183" t="s">
        <v>27</v>
      </c>
      <c r="D201" s="184"/>
      <c r="E201" s="185"/>
      <c r="F201" s="200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186"/>
      <c r="D202" s="187"/>
      <c r="E202" s="188"/>
      <c r="F202" s="201"/>
    </row>
    <row r="203" spans="1:13" ht="16.5" customHeight="1" x14ac:dyDescent="0.25">
      <c r="A203" s="41" t="s">
        <v>28</v>
      </c>
      <c r="B203" s="72">
        <v>720</v>
      </c>
      <c r="C203" s="189"/>
      <c r="D203" s="190"/>
      <c r="E203" s="191"/>
      <c r="F203" s="202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192" t="s">
        <v>153</v>
      </c>
      <c r="B204" s="200">
        <v>24924</v>
      </c>
      <c r="C204" s="179" t="s">
        <v>154</v>
      </c>
      <c r="D204" s="180"/>
      <c r="E204" s="181"/>
      <c r="F204" s="74">
        <v>7447</v>
      </c>
      <c r="H204" s="16"/>
    </row>
    <row r="205" spans="1:13" ht="16.5" customHeight="1" x14ac:dyDescent="0.2">
      <c r="A205" s="193"/>
      <c r="B205" s="201"/>
      <c r="C205" s="179" t="s">
        <v>168</v>
      </c>
      <c r="D205" s="180"/>
      <c r="E205" s="181"/>
      <c r="F205" s="74">
        <f>313-84.6</f>
        <v>228.4</v>
      </c>
      <c r="H205" s="16"/>
    </row>
    <row r="206" spans="1:13" ht="16.5" customHeight="1" x14ac:dyDescent="0.2">
      <c r="A206" s="193"/>
      <c r="B206" s="201"/>
      <c r="C206" s="179" t="s">
        <v>155</v>
      </c>
      <c r="D206" s="180"/>
      <c r="E206" s="181"/>
      <c r="F206" s="74">
        <v>849</v>
      </c>
      <c r="H206" s="16"/>
    </row>
    <row r="207" spans="1:13" ht="16.5" customHeight="1" x14ac:dyDescent="0.2">
      <c r="A207" s="193"/>
      <c r="B207" s="201"/>
      <c r="C207" s="179" t="s">
        <v>156</v>
      </c>
      <c r="D207" s="180"/>
      <c r="E207" s="181"/>
      <c r="F207" s="74">
        <v>1543.8</v>
      </c>
      <c r="H207" s="16"/>
    </row>
    <row r="208" spans="1:13" ht="16.5" customHeight="1" x14ac:dyDescent="0.2">
      <c r="A208" s="193"/>
      <c r="B208" s="201"/>
      <c r="C208" s="179" t="s">
        <v>161</v>
      </c>
      <c r="D208" s="180"/>
      <c r="E208" s="181"/>
      <c r="F208" s="74">
        <v>1554.3</v>
      </c>
      <c r="H208" s="16"/>
    </row>
    <row r="209" spans="1:13" ht="16.5" customHeight="1" x14ac:dyDescent="0.2">
      <c r="A209" s="193"/>
      <c r="B209" s="201"/>
      <c r="C209" s="179" t="s">
        <v>157</v>
      </c>
      <c r="D209" s="180"/>
      <c r="E209" s="181"/>
      <c r="F209" s="74">
        <v>213.7</v>
      </c>
      <c r="H209" s="16"/>
    </row>
    <row r="210" spans="1:13" ht="16.5" customHeight="1" x14ac:dyDescent="0.2">
      <c r="A210" s="193"/>
      <c r="B210" s="201"/>
      <c r="C210" s="179" t="s">
        <v>158</v>
      </c>
      <c r="D210" s="180"/>
      <c r="E210" s="181"/>
      <c r="F210" s="74">
        <v>1301.5</v>
      </c>
      <c r="H210" s="16"/>
    </row>
    <row r="211" spans="1:13" ht="33" customHeight="1" x14ac:dyDescent="0.2">
      <c r="A211" s="193"/>
      <c r="B211" s="201"/>
      <c r="C211" s="179" t="s">
        <v>159</v>
      </c>
      <c r="D211" s="180"/>
      <c r="E211" s="181"/>
      <c r="F211" s="74">
        <v>213.6</v>
      </c>
      <c r="H211" s="16"/>
    </row>
    <row r="212" spans="1:13" ht="14.25" customHeight="1" x14ac:dyDescent="0.2">
      <c r="A212" s="193"/>
      <c r="B212" s="201"/>
      <c r="C212" s="179" t="s">
        <v>160</v>
      </c>
      <c r="D212" s="180"/>
      <c r="E212" s="181"/>
      <c r="F212" s="74">
        <f>1130.5+84.6</f>
        <v>1215.0999999999999</v>
      </c>
      <c r="H212" s="16"/>
    </row>
    <row r="213" spans="1:13" ht="33" customHeight="1" x14ac:dyDescent="0.2">
      <c r="A213" s="193"/>
      <c r="B213" s="201"/>
      <c r="C213" s="179" t="s">
        <v>162</v>
      </c>
      <c r="D213" s="180"/>
      <c r="E213" s="181"/>
      <c r="F213" s="74">
        <v>670.6</v>
      </c>
      <c r="H213" s="16"/>
    </row>
    <row r="214" spans="1:13" ht="16.5" customHeight="1" x14ac:dyDescent="0.2">
      <c r="A214" s="193"/>
      <c r="B214" s="201"/>
      <c r="C214" s="179" t="s">
        <v>163</v>
      </c>
      <c r="D214" s="180"/>
      <c r="E214" s="181"/>
      <c r="F214" s="74">
        <v>930.4</v>
      </c>
      <c r="H214" s="16"/>
    </row>
    <row r="215" spans="1:13" ht="16.5" customHeight="1" x14ac:dyDescent="0.2">
      <c r="A215" s="193"/>
      <c r="B215" s="201"/>
      <c r="C215" s="179" t="s">
        <v>164</v>
      </c>
      <c r="D215" s="180"/>
      <c r="E215" s="181"/>
      <c r="F215" s="74">
        <v>1589</v>
      </c>
      <c r="H215" s="16"/>
    </row>
    <row r="216" spans="1:13" ht="16.5" customHeight="1" x14ac:dyDescent="0.2">
      <c r="A216" s="193"/>
      <c r="B216" s="201"/>
      <c r="C216" s="179" t="s">
        <v>163</v>
      </c>
      <c r="D216" s="180"/>
      <c r="E216" s="181"/>
      <c r="F216" s="74">
        <v>2190.4</v>
      </c>
      <c r="H216" s="16"/>
    </row>
    <row r="217" spans="1:13" ht="16.5" customHeight="1" x14ac:dyDescent="0.2">
      <c r="A217" s="193"/>
      <c r="B217" s="201"/>
      <c r="C217" s="179" t="s">
        <v>165</v>
      </c>
      <c r="D217" s="180"/>
      <c r="E217" s="181"/>
      <c r="F217" s="74">
        <v>4609.7</v>
      </c>
      <c r="H217" s="16"/>
    </row>
    <row r="218" spans="1:13" ht="16.5" customHeight="1" x14ac:dyDescent="0.2">
      <c r="A218" s="193"/>
      <c r="B218" s="201"/>
      <c r="C218" s="197" t="s">
        <v>88</v>
      </c>
      <c r="D218" s="198"/>
      <c r="E218" s="199"/>
      <c r="F218" s="74">
        <v>64.5</v>
      </c>
      <c r="H218" s="16"/>
    </row>
    <row r="219" spans="1:13" ht="16.5" customHeight="1" x14ac:dyDescent="0.2">
      <c r="A219" s="193"/>
      <c r="B219" s="201"/>
      <c r="C219" s="179" t="s">
        <v>166</v>
      </c>
      <c r="D219" s="180"/>
      <c r="E219" s="181"/>
      <c r="F219" s="74">
        <v>219.6</v>
      </c>
      <c r="H219" s="16"/>
    </row>
    <row r="220" spans="1:13" ht="16.5" customHeight="1" x14ac:dyDescent="0.2">
      <c r="A220" s="194"/>
      <c r="B220" s="202"/>
      <c r="C220" s="179" t="s">
        <v>167</v>
      </c>
      <c r="D220" s="180"/>
      <c r="E220" s="181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179" t="s">
        <v>170</v>
      </c>
      <c r="D221" s="180"/>
      <c r="E221" s="181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179" t="s">
        <v>89</v>
      </c>
      <c r="D222" s="180"/>
      <c r="E222" s="181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179" t="s">
        <v>160</v>
      </c>
      <c r="D223" s="180"/>
      <c r="E223" s="181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176" t="s">
        <v>9</v>
      </c>
      <c r="D224" s="176"/>
      <c r="E224" s="176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177" t="s">
        <v>66</v>
      </c>
      <c r="B226" s="177"/>
      <c r="C226" s="177"/>
      <c r="D226" s="177"/>
      <c r="E226" s="178" t="s">
        <v>67</v>
      </c>
      <c r="F226" s="178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4"/>
  <sheetViews>
    <sheetView tabSelected="1" topLeftCell="A84" zoomScaleNormal="100" zoomScaleSheetLayoutView="100" workbookViewId="0">
      <selection activeCell="E50" sqref="E50"/>
    </sheetView>
  </sheetViews>
  <sheetFormatPr defaultColWidth="9.140625" defaultRowHeight="18" x14ac:dyDescent="0.25"/>
  <cols>
    <col min="1" max="1" width="44" style="79" customWidth="1"/>
    <col min="2" max="2" width="14.7109375" style="79" customWidth="1"/>
    <col min="3" max="3" width="16.42578125" style="79" customWidth="1"/>
    <col min="4" max="4" width="15.7109375" style="79" customWidth="1"/>
    <col min="5" max="5" width="20.5703125" style="79" customWidth="1"/>
    <col min="6" max="6" width="18.28515625" style="79" customWidth="1"/>
    <col min="7" max="7" width="20.42578125" style="79" customWidth="1"/>
    <col min="8" max="8" width="15.42578125" style="117" customWidth="1"/>
    <col min="9" max="9" width="8.5703125" style="79" customWidth="1"/>
    <col min="10" max="10" width="9.140625" style="79"/>
    <col min="11" max="11" width="11.7109375" style="79" customWidth="1"/>
    <col min="12" max="12" width="12.140625" style="79" customWidth="1"/>
    <col min="13" max="16384" width="9.140625" style="79"/>
  </cols>
  <sheetData>
    <row r="1" spans="1:8" ht="19.5" customHeight="1" x14ac:dyDescent="0.3">
      <c r="A1" s="251" t="s">
        <v>0</v>
      </c>
      <c r="B1" s="251"/>
      <c r="C1" s="251"/>
      <c r="D1" s="251"/>
      <c r="E1" s="251"/>
      <c r="F1" s="251"/>
    </row>
    <row r="2" spans="1:8" ht="66.75" customHeight="1" x14ac:dyDescent="0.25">
      <c r="A2" s="252" t="s">
        <v>247</v>
      </c>
      <c r="B2" s="252"/>
      <c r="C2" s="252"/>
      <c r="D2" s="252"/>
      <c r="E2" s="252"/>
      <c r="F2" s="252"/>
      <c r="H2" s="118" t="s">
        <v>246</v>
      </c>
    </row>
    <row r="3" spans="1:8" ht="17.45" customHeight="1" x14ac:dyDescent="0.25">
      <c r="A3" s="253" t="s">
        <v>264</v>
      </c>
      <c r="B3" s="253"/>
      <c r="C3" s="253"/>
      <c r="D3" s="253"/>
      <c r="E3" s="253"/>
      <c r="F3" s="253"/>
    </row>
    <row r="4" spans="1:8" ht="59.25" customHeight="1" x14ac:dyDescent="0.25">
      <c r="A4" s="253" t="s">
        <v>429</v>
      </c>
      <c r="B4" s="253"/>
      <c r="C4" s="253"/>
      <c r="D4" s="253"/>
      <c r="E4" s="253"/>
      <c r="F4" s="253"/>
    </row>
    <row r="5" spans="1:8" ht="17.45" customHeight="1" x14ac:dyDescent="0.3">
      <c r="A5" s="254" t="s">
        <v>427</v>
      </c>
      <c r="B5" s="254"/>
      <c r="C5" s="254"/>
      <c r="D5" s="254"/>
      <c r="E5" s="157"/>
      <c r="F5" s="158"/>
      <c r="H5" s="119">
        <v>16505.400000000001</v>
      </c>
    </row>
    <row r="6" spans="1:8" ht="17.25" customHeight="1" x14ac:dyDescent="0.3">
      <c r="A6" s="254" t="s">
        <v>441</v>
      </c>
      <c r="B6" s="254"/>
      <c r="C6" s="254"/>
      <c r="D6" s="157"/>
      <c r="E6" s="157"/>
      <c r="F6" s="158"/>
      <c r="H6" s="119">
        <v>7634</v>
      </c>
    </row>
    <row r="7" spans="1:8" ht="19.5" customHeight="1" x14ac:dyDescent="0.25">
      <c r="A7" s="255" t="s">
        <v>404</v>
      </c>
      <c r="B7" s="255"/>
      <c r="C7" s="255"/>
      <c r="D7" s="255"/>
      <c r="E7" s="255"/>
      <c r="F7" s="158"/>
      <c r="H7" s="119">
        <v>152</v>
      </c>
    </row>
    <row r="8" spans="1:8" ht="59.25" customHeight="1" x14ac:dyDescent="0.25">
      <c r="A8" s="257" t="s">
        <v>428</v>
      </c>
      <c r="B8" s="257"/>
      <c r="C8" s="257"/>
      <c r="D8" s="257"/>
      <c r="E8" s="257"/>
      <c r="F8" s="257"/>
      <c r="H8" s="119">
        <v>23.4</v>
      </c>
    </row>
    <row r="9" spans="1:8" ht="19.5" customHeight="1" x14ac:dyDescent="0.3">
      <c r="A9" s="258" t="s">
        <v>426</v>
      </c>
      <c r="B9" s="258"/>
      <c r="C9" s="258"/>
      <c r="D9" s="258"/>
      <c r="E9" s="258"/>
      <c r="F9" s="258"/>
      <c r="H9" s="119"/>
    </row>
    <row r="10" spans="1:8" ht="18.75" hidden="1" customHeight="1" x14ac:dyDescent="0.25">
      <c r="A10" s="256" t="s">
        <v>257</v>
      </c>
      <c r="B10" s="256"/>
      <c r="C10" s="256"/>
      <c r="D10" s="256"/>
      <c r="E10" s="256"/>
      <c r="F10" s="256"/>
    </row>
    <row r="11" spans="1:8" ht="54.75" hidden="1" customHeight="1" x14ac:dyDescent="0.25">
      <c r="A11" s="159" t="s">
        <v>15</v>
      </c>
      <c r="B11" s="237" t="s">
        <v>251</v>
      </c>
      <c r="C11" s="238"/>
      <c r="D11" s="160" t="s">
        <v>16</v>
      </c>
      <c r="E11" s="160" t="s">
        <v>17</v>
      </c>
      <c r="F11" s="161" t="s">
        <v>18</v>
      </c>
    </row>
    <row r="12" spans="1:8" ht="54" hidden="1" customHeight="1" x14ac:dyDescent="0.25">
      <c r="A12" s="162"/>
      <c r="B12" s="237"/>
      <c r="C12" s="238"/>
      <c r="D12" s="160"/>
      <c r="E12" s="160"/>
      <c r="F12" s="163"/>
    </row>
    <row r="13" spans="1:8" ht="20.25" hidden="1" customHeight="1" x14ac:dyDescent="0.25">
      <c r="A13" s="162"/>
      <c r="B13" s="237"/>
      <c r="C13" s="238"/>
      <c r="D13" s="160"/>
      <c r="E13" s="160"/>
      <c r="F13" s="163"/>
    </row>
    <row r="14" spans="1:8" ht="15.75" hidden="1" customHeight="1" x14ac:dyDescent="0.25">
      <c r="A14" s="164" t="s">
        <v>250</v>
      </c>
      <c r="B14" s="237"/>
      <c r="C14" s="238"/>
      <c r="D14" s="160"/>
      <c r="E14" s="165">
        <f>SUM(E12:E13)</f>
        <v>0</v>
      </c>
      <c r="F14" s="161"/>
      <c r="H14" s="120">
        <v>0</v>
      </c>
    </row>
    <row r="15" spans="1:8" ht="17.25" customHeight="1" x14ac:dyDescent="0.25">
      <c r="A15" s="166"/>
      <c r="B15" s="167"/>
      <c r="C15" s="167"/>
      <c r="D15" s="167"/>
      <c r="E15" s="168"/>
      <c r="F15" s="169"/>
      <c r="H15" s="120"/>
    </row>
    <row r="16" spans="1:8" ht="17.25" customHeight="1" x14ac:dyDescent="0.25">
      <c r="A16" s="253" t="s">
        <v>449</v>
      </c>
      <c r="B16" s="253"/>
      <c r="C16" s="253"/>
      <c r="D16" s="253"/>
      <c r="E16" s="253"/>
      <c r="F16" s="253"/>
      <c r="H16" s="121"/>
    </row>
    <row r="17" spans="1:8" ht="17.25" customHeight="1" x14ac:dyDescent="0.25">
      <c r="A17" s="253" t="s">
        <v>405</v>
      </c>
      <c r="B17" s="253"/>
      <c r="C17" s="253"/>
      <c r="D17" s="253"/>
      <c r="E17" s="253"/>
      <c r="F17" s="253"/>
      <c r="H17" s="121"/>
    </row>
    <row r="18" spans="1:8" ht="17.25" customHeight="1" x14ac:dyDescent="0.3">
      <c r="A18" s="254" t="s">
        <v>442</v>
      </c>
      <c r="B18" s="254"/>
      <c r="C18" s="254"/>
      <c r="D18" s="254"/>
      <c r="E18" s="156"/>
      <c r="F18" s="156"/>
      <c r="H18" s="121"/>
    </row>
    <row r="19" spans="1:8" ht="17.25" customHeight="1" x14ac:dyDescent="0.3">
      <c r="A19" s="254" t="s">
        <v>443</v>
      </c>
      <c r="B19" s="254"/>
      <c r="C19" s="254"/>
      <c r="D19" s="156"/>
      <c r="E19" s="156"/>
      <c r="F19" s="156"/>
      <c r="H19" s="121"/>
    </row>
    <row r="20" spans="1:8" ht="17.25" customHeight="1" x14ac:dyDescent="0.25">
      <c r="A20" s="156"/>
      <c r="B20" s="156"/>
      <c r="C20" s="156"/>
      <c r="D20" s="156"/>
      <c r="E20" s="156"/>
      <c r="F20" s="156"/>
      <c r="H20" s="121"/>
    </row>
    <row r="21" spans="1:8" ht="17.25" customHeight="1" x14ac:dyDescent="0.25">
      <c r="A21" s="253" t="s">
        <v>450</v>
      </c>
      <c r="B21" s="253"/>
      <c r="C21" s="253"/>
      <c r="D21" s="253"/>
      <c r="E21" s="253"/>
      <c r="F21" s="253"/>
      <c r="H21" s="121"/>
    </row>
    <row r="22" spans="1:8" ht="17.25" customHeight="1" x14ac:dyDescent="0.25">
      <c r="A22" s="253" t="s">
        <v>406</v>
      </c>
      <c r="B22" s="253"/>
      <c r="C22" s="253"/>
      <c r="D22" s="253"/>
      <c r="E22" s="253"/>
      <c r="F22" s="253"/>
      <c r="H22" s="121"/>
    </row>
    <row r="23" spans="1:8" ht="20.25" customHeight="1" x14ac:dyDescent="0.3">
      <c r="A23" s="254" t="s">
        <v>425</v>
      </c>
      <c r="B23" s="254"/>
      <c r="C23" s="254"/>
      <c r="D23" s="156"/>
      <c r="E23" s="156"/>
      <c r="F23" s="156"/>
      <c r="H23" s="122">
        <v>0</v>
      </c>
    </row>
    <row r="24" spans="1:8" ht="20.25" customHeight="1" x14ac:dyDescent="0.3">
      <c r="A24" s="124"/>
      <c r="B24" s="124"/>
      <c r="C24" s="124"/>
      <c r="D24" s="123"/>
      <c r="E24" s="123"/>
      <c r="F24" s="123"/>
      <c r="H24" s="122"/>
    </row>
    <row r="25" spans="1:8" ht="65.25" customHeight="1" x14ac:dyDescent="0.3">
      <c r="A25" s="233" t="s">
        <v>430</v>
      </c>
      <c r="B25" s="233"/>
      <c r="C25" s="233"/>
      <c r="D25" s="233"/>
      <c r="E25" s="233"/>
      <c r="F25" s="233"/>
      <c r="H25" s="79"/>
    </row>
    <row r="26" spans="1:8" ht="21" customHeight="1" x14ac:dyDescent="0.3">
      <c r="A26" s="250" t="s">
        <v>31</v>
      </c>
      <c r="B26" s="250"/>
      <c r="C26" s="250"/>
      <c r="D26" s="250"/>
      <c r="E26" s="250"/>
      <c r="F26" s="250"/>
      <c r="H26" s="79"/>
    </row>
    <row r="27" spans="1:8" ht="16.5" customHeight="1" x14ac:dyDescent="0.3">
      <c r="A27" s="125" t="s">
        <v>38</v>
      </c>
      <c r="B27" s="125"/>
      <c r="C27" s="125"/>
      <c r="D27" s="125"/>
      <c r="E27" s="125"/>
      <c r="F27" s="125"/>
      <c r="H27" s="79"/>
    </row>
    <row r="28" spans="1:8" ht="264" customHeight="1" x14ac:dyDescent="0.3">
      <c r="A28" s="233" t="s">
        <v>444</v>
      </c>
      <c r="B28" s="233"/>
      <c r="C28" s="233"/>
      <c r="D28" s="233"/>
      <c r="E28" s="233"/>
      <c r="F28" s="233"/>
      <c r="H28" s="79"/>
    </row>
    <row r="29" spans="1:8" ht="24.75" customHeight="1" x14ac:dyDescent="0.3">
      <c r="A29" s="250" t="s">
        <v>258</v>
      </c>
      <c r="B29" s="250"/>
      <c r="C29" s="250"/>
      <c r="D29" s="250"/>
      <c r="E29" s="250"/>
      <c r="F29" s="250"/>
      <c r="H29" s="79"/>
    </row>
    <row r="30" spans="1:8" ht="178.5" customHeight="1" x14ac:dyDescent="0.3">
      <c r="A30" s="233" t="s">
        <v>312</v>
      </c>
      <c r="B30" s="233"/>
      <c r="C30" s="233"/>
      <c r="D30" s="233"/>
      <c r="E30" s="233"/>
      <c r="F30" s="233"/>
      <c r="H30" s="79"/>
    </row>
    <row r="31" spans="1:8" ht="24.75" customHeight="1" x14ac:dyDescent="0.3">
      <c r="A31" s="250" t="s">
        <v>288</v>
      </c>
      <c r="B31" s="250"/>
      <c r="C31" s="250"/>
      <c r="D31" s="250"/>
      <c r="E31" s="250"/>
      <c r="F31" s="250"/>
      <c r="H31" s="79"/>
    </row>
    <row r="32" spans="1:8" ht="231.75" customHeight="1" x14ac:dyDescent="0.3">
      <c r="A32" s="233" t="s">
        <v>334</v>
      </c>
      <c r="B32" s="233"/>
      <c r="C32" s="233"/>
      <c r="D32" s="233"/>
      <c r="E32" s="233"/>
      <c r="F32" s="233"/>
      <c r="H32" s="79"/>
    </row>
    <row r="33" spans="1:8" ht="164.25" customHeight="1" x14ac:dyDescent="0.3">
      <c r="A33" s="233" t="s">
        <v>463</v>
      </c>
      <c r="B33" s="233"/>
      <c r="C33" s="233"/>
      <c r="D33" s="233"/>
      <c r="E33" s="233"/>
      <c r="F33" s="233"/>
      <c r="H33" s="79"/>
    </row>
    <row r="34" spans="1:8" ht="63" customHeight="1" x14ac:dyDescent="0.3">
      <c r="A34" s="233" t="s">
        <v>359</v>
      </c>
      <c r="B34" s="233"/>
      <c r="C34" s="233"/>
      <c r="D34" s="233"/>
      <c r="E34" s="233"/>
      <c r="F34" s="233"/>
      <c r="H34" s="79"/>
    </row>
    <row r="35" spans="1:8" ht="53.25" customHeight="1" x14ac:dyDescent="0.3">
      <c r="A35" s="233" t="s">
        <v>445</v>
      </c>
      <c r="B35" s="233"/>
      <c r="C35" s="233"/>
      <c r="D35" s="233"/>
      <c r="E35" s="233"/>
      <c r="F35" s="233"/>
      <c r="H35" s="79"/>
    </row>
    <row r="36" spans="1:8" ht="42" customHeight="1" x14ac:dyDescent="0.3">
      <c r="A36" s="250" t="s">
        <v>85</v>
      </c>
      <c r="B36" s="250"/>
      <c r="C36" s="250"/>
      <c r="D36" s="250"/>
      <c r="E36" s="250"/>
      <c r="F36" s="250"/>
      <c r="H36" s="79"/>
    </row>
    <row r="37" spans="1:8" ht="75.75" customHeight="1" x14ac:dyDescent="0.3">
      <c r="A37" s="233" t="s">
        <v>431</v>
      </c>
      <c r="B37" s="233"/>
      <c r="C37" s="233"/>
      <c r="D37" s="233"/>
      <c r="E37" s="233"/>
      <c r="F37" s="233"/>
      <c r="H37" s="79"/>
    </row>
    <row r="38" spans="1:8" ht="247.5" customHeight="1" x14ac:dyDescent="0.3">
      <c r="A38" s="233" t="s">
        <v>432</v>
      </c>
      <c r="B38" s="233"/>
      <c r="C38" s="233"/>
      <c r="D38" s="233"/>
      <c r="E38" s="233"/>
      <c r="F38" s="233"/>
      <c r="H38" s="79"/>
    </row>
    <row r="39" spans="1:8" ht="59.25" customHeight="1" x14ac:dyDescent="0.3">
      <c r="A39" s="233" t="s">
        <v>433</v>
      </c>
      <c r="B39" s="233"/>
      <c r="C39" s="233"/>
      <c r="D39" s="233"/>
      <c r="E39" s="233"/>
      <c r="F39" s="233"/>
      <c r="H39" s="79"/>
    </row>
    <row r="40" spans="1:8" ht="172.5" customHeight="1" x14ac:dyDescent="0.3">
      <c r="A40" s="233" t="s">
        <v>434</v>
      </c>
      <c r="B40" s="233"/>
      <c r="C40" s="233"/>
      <c r="D40" s="233"/>
      <c r="E40" s="233"/>
      <c r="F40" s="233"/>
      <c r="H40" s="79"/>
    </row>
    <row r="41" spans="1:8" ht="183.75" customHeight="1" x14ac:dyDescent="0.3">
      <c r="A41" s="233" t="s">
        <v>332</v>
      </c>
      <c r="B41" s="233"/>
      <c r="C41" s="233"/>
      <c r="D41" s="233"/>
      <c r="E41" s="233"/>
      <c r="F41" s="233"/>
      <c r="H41" s="79"/>
    </row>
    <row r="42" spans="1:8" ht="270.75" customHeight="1" x14ac:dyDescent="0.3">
      <c r="A42" s="233" t="s">
        <v>464</v>
      </c>
      <c r="B42" s="233"/>
      <c r="C42" s="233"/>
      <c r="D42" s="233"/>
      <c r="E42" s="233"/>
      <c r="F42" s="233"/>
      <c r="H42" s="79"/>
    </row>
    <row r="43" spans="1:8" s="100" customFormat="1" ht="24" customHeight="1" x14ac:dyDescent="0.2">
      <c r="A43" s="170"/>
      <c r="B43" s="234" t="s">
        <v>2</v>
      </c>
      <c r="C43" s="234"/>
      <c r="D43" s="170" t="s">
        <v>3</v>
      </c>
      <c r="E43" s="170" t="s">
        <v>4</v>
      </c>
      <c r="F43" s="170" t="s">
        <v>5</v>
      </c>
    </row>
    <row r="44" spans="1:8" s="100" customFormat="1" ht="24" customHeight="1" x14ac:dyDescent="0.2">
      <c r="A44" s="232" t="s">
        <v>30</v>
      </c>
      <c r="B44" s="133" t="s">
        <v>360</v>
      </c>
      <c r="C44" s="134"/>
      <c r="D44" s="134">
        <v>0</v>
      </c>
      <c r="E44" s="152">
        <v>152</v>
      </c>
      <c r="F44" s="135">
        <f>D44+E44</f>
        <v>152</v>
      </c>
    </row>
    <row r="45" spans="1:8" s="100" customFormat="1" ht="18.75" customHeight="1" x14ac:dyDescent="0.3">
      <c r="A45" s="232"/>
      <c r="B45" s="136" t="s">
        <v>287</v>
      </c>
      <c r="C45" s="136"/>
      <c r="D45" s="137">
        <v>0</v>
      </c>
      <c r="E45" s="135">
        <v>11500</v>
      </c>
      <c r="F45" s="135">
        <f>D45+E45</f>
        <v>11500</v>
      </c>
    </row>
    <row r="46" spans="1:8" s="100" customFormat="1" ht="18.75" customHeight="1" x14ac:dyDescent="0.3">
      <c r="A46" s="232"/>
      <c r="B46" s="136" t="s">
        <v>286</v>
      </c>
      <c r="C46" s="136"/>
      <c r="D46" s="137">
        <v>0</v>
      </c>
      <c r="E46" s="135">
        <v>2996.578</v>
      </c>
      <c r="F46" s="135">
        <f t="shared" ref="F46:F94" si="0">D46+E46</f>
        <v>2996.578</v>
      </c>
    </row>
    <row r="47" spans="1:8" s="100" customFormat="1" ht="18.75" customHeight="1" x14ac:dyDescent="0.3">
      <c r="A47" s="232"/>
      <c r="B47" s="136" t="s">
        <v>387</v>
      </c>
      <c r="C47" s="136"/>
      <c r="D47" s="137">
        <v>25414.9</v>
      </c>
      <c r="E47" s="135">
        <v>-237.1</v>
      </c>
      <c r="F47" s="135">
        <f t="shared" si="0"/>
        <v>25177.800000000003</v>
      </c>
    </row>
    <row r="48" spans="1:8" s="100" customFormat="1" ht="18.75" customHeight="1" x14ac:dyDescent="0.3">
      <c r="A48" s="232"/>
      <c r="B48" s="136" t="s">
        <v>309</v>
      </c>
      <c r="C48" s="136"/>
      <c r="D48" s="137">
        <v>5168.3999999999996</v>
      </c>
      <c r="E48" s="135">
        <v>-151.20952</v>
      </c>
      <c r="F48" s="135">
        <f t="shared" si="0"/>
        <v>5017.1904799999993</v>
      </c>
    </row>
    <row r="49" spans="1:8" s="100" customFormat="1" ht="18.75" customHeight="1" x14ac:dyDescent="0.3">
      <c r="A49" s="155" t="s">
        <v>34</v>
      </c>
      <c r="B49" s="136" t="s">
        <v>308</v>
      </c>
      <c r="C49" s="136"/>
      <c r="D49" s="137">
        <v>24881.1</v>
      </c>
      <c r="E49" s="135">
        <f>-101.3-0.0126</f>
        <v>-101.3126</v>
      </c>
      <c r="F49" s="135">
        <f t="shared" si="0"/>
        <v>24779.787399999997</v>
      </c>
    </row>
    <row r="50" spans="1:8" s="100" customFormat="1" ht="18.75" customHeight="1" x14ac:dyDescent="0.3">
      <c r="A50" s="232" t="s">
        <v>8</v>
      </c>
      <c r="B50" s="136" t="s">
        <v>310</v>
      </c>
      <c r="C50" s="136"/>
      <c r="D50" s="137">
        <v>40850.5</v>
      </c>
      <c r="E50" s="135">
        <v>672.2</v>
      </c>
      <c r="F50" s="135">
        <f t="shared" si="0"/>
        <v>41522.699999999997</v>
      </c>
    </row>
    <row r="51" spans="1:8" s="100" customFormat="1" ht="18.75" customHeight="1" x14ac:dyDescent="0.3">
      <c r="A51" s="232"/>
      <c r="B51" s="136" t="s">
        <v>311</v>
      </c>
      <c r="C51" s="136"/>
      <c r="D51" s="137">
        <v>204467.8</v>
      </c>
      <c r="E51" s="135">
        <v>2510.8000000000002</v>
      </c>
      <c r="F51" s="135">
        <f t="shared" si="0"/>
        <v>206978.59999999998</v>
      </c>
    </row>
    <row r="52" spans="1:8" s="100" customFormat="1" ht="18.75" customHeight="1" x14ac:dyDescent="0.3">
      <c r="A52" s="232"/>
      <c r="B52" s="136" t="s">
        <v>298</v>
      </c>
      <c r="C52" s="136"/>
      <c r="D52" s="137">
        <v>67627.399999999994</v>
      </c>
      <c r="E52" s="135">
        <v>716</v>
      </c>
      <c r="F52" s="135">
        <f t="shared" si="0"/>
        <v>68343.399999999994</v>
      </c>
    </row>
    <row r="53" spans="1:8" s="100" customFormat="1" ht="18.75" customHeight="1" x14ac:dyDescent="0.3">
      <c r="A53" s="232"/>
      <c r="B53" s="136" t="s">
        <v>299</v>
      </c>
      <c r="C53" s="136"/>
      <c r="D53" s="137">
        <v>322226.7</v>
      </c>
      <c r="E53" s="135">
        <v>3814.8</v>
      </c>
      <c r="F53" s="135">
        <f t="shared" si="0"/>
        <v>326041.5</v>
      </c>
    </row>
    <row r="54" spans="1:8" s="100" customFormat="1" ht="18.75" customHeight="1" x14ac:dyDescent="0.3">
      <c r="A54" s="232"/>
      <c r="B54" s="136" t="s">
        <v>279</v>
      </c>
      <c r="C54" s="136"/>
      <c r="D54" s="137">
        <v>34834.9</v>
      </c>
      <c r="E54" s="135">
        <v>19.8</v>
      </c>
      <c r="F54" s="135">
        <f t="shared" si="0"/>
        <v>34854.700000000004</v>
      </c>
      <c r="H54" s="87"/>
    </row>
    <row r="55" spans="1:8" s="100" customFormat="1" ht="18.75" customHeight="1" x14ac:dyDescent="0.3">
      <c r="A55" s="232"/>
      <c r="B55" s="136" t="s">
        <v>39</v>
      </c>
      <c r="C55" s="136"/>
      <c r="D55" s="137">
        <v>12972.5</v>
      </c>
      <c r="E55" s="135">
        <v>1388</v>
      </c>
      <c r="F55" s="135">
        <f t="shared" si="0"/>
        <v>14360.5</v>
      </c>
      <c r="H55" s="87"/>
    </row>
    <row r="56" spans="1:8" s="100" customFormat="1" ht="18.75" customHeight="1" x14ac:dyDescent="0.3">
      <c r="A56" s="232"/>
      <c r="B56" s="136" t="s">
        <v>183</v>
      </c>
      <c r="C56" s="136"/>
      <c r="D56" s="137">
        <v>1090.9000000000001</v>
      </c>
      <c r="E56" s="135">
        <v>32</v>
      </c>
      <c r="F56" s="135">
        <f t="shared" si="0"/>
        <v>1122.9000000000001</v>
      </c>
      <c r="H56" s="87"/>
    </row>
    <row r="57" spans="1:8" s="100" customFormat="1" ht="18.75" customHeight="1" x14ac:dyDescent="0.3">
      <c r="A57" s="232"/>
      <c r="B57" s="136" t="s">
        <v>296</v>
      </c>
      <c r="C57" s="136"/>
      <c r="D57" s="137">
        <v>476.6</v>
      </c>
      <c r="E57" s="135">
        <v>-104.2</v>
      </c>
      <c r="F57" s="135">
        <f t="shared" si="0"/>
        <v>372.40000000000003</v>
      </c>
      <c r="H57" s="87"/>
    </row>
    <row r="58" spans="1:8" s="100" customFormat="1" ht="18.75" customHeight="1" x14ac:dyDescent="0.3">
      <c r="A58" s="232"/>
      <c r="B58" s="136" t="s">
        <v>297</v>
      </c>
      <c r="C58" s="136"/>
      <c r="D58" s="137">
        <v>1636</v>
      </c>
      <c r="E58" s="135">
        <v>-3.4</v>
      </c>
      <c r="F58" s="135">
        <f t="shared" si="0"/>
        <v>1632.6</v>
      </c>
      <c r="H58" s="140"/>
    </row>
    <row r="59" spans="1:8" s="100" customFormat="1" ht="18.75" customHeight="1" x14ac:dyDescent="0.3">
      <c r="A59" s="232"/>
      <c r="B59" s="136" t="s">
        <v>313</v>
      </c>
      <c r="C59" s="136"/>
      <c r="D59" s="137">
        <v>600</v>
      </c>
      <c r="E59" s="135">
        <v>-363.1</v>
      </c>
      <c r="F59" s="135">
        <f t="shared" si="0"/>
        <v>236.89999999999998</v>
      </c>
      <c r="H59" s="140"/>
    </row>
    <row r="60" spans="1:8" s="100" customFormat="1" ht="18.75" customHeight="1" x14ac:dyDescent="0.3">
      <c r="A60" s="232"/>
      <c r="B60" s="136" t="s">
        <v>329</v>
      </c>
      <c r="C60" s="136"/>
      <c r="D60" s="137">
        <v>38467</v>
      </c>
      <c r="E60" s="135">
        <v>-1000</v>
      </c>
      <c r="F60" s="135">
        <f t="shared" si="0"/>
        <v>37467</v>
      </c>
      <c r="H60" s="140"/>
    </row>
    <row r="61" spans="1:8" s="100" customFormat="1" ht="18.75" customHeight="1" x14ac:dyDescent="0.3">
      <c r="A61" s="232"/>
      <c r="B61" s="136" t="s">
        <v>314</v>
      </c>
      <c r="C61" s="136"/>
      <c r="D61" s="137">
        <v>2727.6</v>
      </c>
      <c r="E61" s="135">
        <v>-739.9</v>
      </c>
      <c r="F61" s="135">
        <f t="shared" si="0"/>
        <v>1987.6999999999998</v>
      </c>
      <c r="H61" s="140"/>
    </row>
    <row r="62" spans="1:8" s="100" customFormat="1" ht="18.75" customHeight="1" x14ac:dyDescent="0.3">
      <c r="A62" s="232" t="s">
        <v>25</v>
      </c>
      <c r="B62" s="136" t="s">
        <v>344</v>
      </c>
      <c r="C62" s="136"/>
      <c r="D62" s="137">
        <v>121813.3</v>
      </c>
      <c r="E62" s="135">
        <v>1232.8</v>
      </c>
      <c r="F62" s="135">
        <f t="shared" si="0"/>
        <v>123046.1</v>
      </c>
      <c r="H62" s="140"/>
    </row>
    <row r="63" spans="1:8" s="100" customFormat="1" ht="18.75" customHeight="1" x14ac:dyDescent="0.3">
      <c r="A63" s="232"/>
      <c r="B63" s="136" t="s">
        <v>345</v>
      </c>
      <c r="C63" s="136"/>
      <c r="D63" s="137">
        <v>42333.9</v>
      </c>
      <c r="E63" s="135">
        <v>92.5</v>
      </c>
      <c r="F63" s="135">
        <f t="shared" si="0"/>
        <v>42426.400000000001</v>
      </c>
      <c r="H63" s="140"/>
    </row>
    <row r="64" spans="1:8" s="100" customFormat="1" ht="18.75" customHeight="1" x14ac:dyDescent="0.3">
      <c r="A64" s="232"/>
      <c r="B64" s="136" t="s">
        <v>101</v>
      </c>
      <c r="C64" s="136"/>
      <c r="D64" s="137">
        <v>7921.1</v>
      </c>
      <c r="E64" s="135">
        <v>87</v>
      </c>
      <c r="F64" s="135">
        <f t="shared" si="0"/>
        <v>8008.1</v>
      </c>
      <c r="H64" s="140"/>
    </row>
    <row r="65" spans="1:8" s="100" customFormat="1" ht="18.75" customHeight="1" x14ac:dyDescent="0.3">
      <c r="A65" s="232"/>
      <c r="B65" s="136" t="s">
        <v>96</v>
      </c>
      <c r="C65" s="136"/>
      <c r="D65" s="137">
        <v>46.678820000000002</v>
      </c>
      <c r="E65" s="135">
        <v>0.28292</v>
      </c>
      <c r="F65" s="135">
        <f t="shared" si="0"/>
        <v>46.961739999999999</v>
      </c>
      <c r="H65" s="140"/>
    </row>
    <row r="66" spans="1:8" s="100" customFormat="1" ht="18.75" customHeight="1" x14ac:dyDescent="0.3">
      <c r="A66" s="232"/>
      <c r="B66" s="136" t="s">
        <v>51</v>
      </c>
      <c r="C66" s="136"/>
      <c r="D66" s="137">
        <v>9463.0774199999996</v>
      </c>
      <c r="E66" s="135">
        <f>70.7299+0.03094</f>
        <v>70.760840000000002</v>
      </c>
      <c r="F66" s="135">
        <f t="shared" si="0"/>
        <v>9533.8382600000004</v>
      </c>
      <c r="H66" s="140"/>
    </row>
    <row r="67" spans="1:8" s="100" customFormat="1" ht="18.75" customHeight="1" x14ac:dyDescent="0.3">
      <c r="A67" s="232"/>
      <c r="B67" s="136" t="s">
        <v>331</v>
      </c>
      <c r="C67" s="136"/>
      <c r="D67" s="137">
        <v>53033</v>
      </c>
      <c r="E67" s="135">
        <v>-950</v>
      </c>
      <c r="F67" s="135">
        <f t="shared" si="0"/>
        <v>52083</v>
      </c>
      <c r="H67" s="140"/>
    </row>
    <row r="68" spans="1:8" s="100" customFormat="1" ht="18.75" customHeight="1" x14ac:dyDescent="0.3">
      <c r="A68" s="232"/>
      <c r="B68" s="136" t="s">
        <v>325</v>
      </c>
      <c r="C68" s="136"/>
      <c r="D68" s="137">
        <v>0.1</v>
      </c>
      <c r="E68" s="135">
        <v>-0.1</v>
      </c>
      <c r="F68" s="135">
        <f t="shared" si="0"/>
        <v>0</v>
      </c>
      <c r="H68" s="140"/>
    </row>
    <row r="69" spans="1:8" s="100" customFormat="1" ht="18.75" customHeight="1" x14ac:dyDescent="0.3">
      <c r="A69" s="232"/>
      <c r="B69" s="136" t="s">
        <v>326</v>
      </c>
      <c r="C69" s="136"/>
      <c r="D69" s="137">
        <v>0.9</v>
      </c>
      <c r="E69" s="135">
        <v>-0.9</v>
      </c>
      <c r="F69" s="135">
        <f t="shared" si="0"/>
        <v>0</v>
      </c>
      <c r="H69" s="140"/>
    </row>
    <row r="70" spans="1:8" s="100" customFormat="1" ht="18.75" customHeight="1" x14ac:dyDescent="0.3">
      <c r="A70" s="232"/>
      <c r="B70" s="136" t="s">
        <v>324</v>
      </c>
      <c r="C70" s="136"/>
      <c r="D70" s="137">
        <v>467.2</v>
      </c>
      <c r="E70" s="135">
        <v>-14</v>
      </c>
      <c r="F70" s="135">
        <f t="shared" si="0"/>
        <v>453.2</v>
      </c>
      <c r="H70" s="140"/>
    </row>
    <row r="71" spans="1:8" s="100" customFormat="1" ht="18.75" customHeight="1" x14ac:dyDescent="0.3">
      <c r="A71" s="232"/>
      <c r="B71" s="136" t="s">
        <v>333</v>
      </c>
      <c r="C71" s="136"/>
      <c r="D71" s="137">
        <v>26149.7</v>
      </c>
      <c r="E71" s="135">
        <v>-300</v>
      </c>
      <c r="F71" s="135">
        <f t="shared" si="0"/>
        <v>25849.7</v>
      </c>
      <c r="H71" s="140"/>
    </row>
    <row r="72" spans="1:8" s="100" customFormat="1" ht="18.75" customHeight="1" x14ac:dyDescent="0.3">
      <c r="A72" s="232"/>
      <c r="B72" s="136" t="s">
        <v>339</v>
      </c>
      <c r="C72" s="136"/>
      <c r="D72" s="137">
        <v>12703.3</v>
      </c>
      <c r="E72" s="135">
        <v>-100</v>
      </c>
      <c r="F72" s="135">
        <f t="shared" si="0"/>
        <v>12603.3</v>
      </c>
      <c r="H72" s="140"/>
    </row>
    <row r="73" spans="1:8" s="100" customFormat="1" ht="18.75" customHeight="1" x14ac:dyDescent="0.3">
      <c r="A73" s="232"/>
      <c r="B73" s="136" t="s">
        <v>335</v>
      </c>
      <c r="C73" s="136"/>
      <c r="D73" s="137">
        <v>522.20000000000005</v>
      </c>
      <c r="E73" s="135">
        <v>70</v>
      </c>
      <c r="F73" s="135">
        <f t="shared" si="0"/>
        <v>592.20000000000005</v>
      </c>
      <c r="H73" s="140"/>
    </row>
    <row r="74" spans="1:8" s="100" customFormat="1" ht="18.75" customHeight="1" x14ac:dyDescent="0.3">
      <c r="A74" s="232"/>
      <c r="B74" s="136" t="s">
        <v>336</v>
      </c>
      <c r="C74" s="136"/>
      <c r="D74" s="137">
        <v>93659</v>
      </c>
      <c r="E74" s="135">
        <v>1000</v>
      </c>
      <c r="F74" s="135">
        <f t="shared" si="0"/>
        <v>94659</v>
      </c>
      <c r="H74" s="140"/>
    </row>
    <row r="75" spans="1:8" s="100" customFormat="1" ht="18.75" customHeight="1" x14ac:dyDescent="0.3">
      <c r="A75" s="232"/>
      <c r="B75" s="136" t="s">
        <v>323</v>
      </c>
      <c r="C75" s="136"/>
      <c r="D75" s="137">
        <v>1.2</v>
      </c>
      <c r="E75" s="135">
        <v>-1.2</v>
      </c>
      <c r="F75" s="135">
        <f t="shared" si="0"/>
        <v>0</v>
      </c>
      <c r="H75" s="140"/>
    </row>
    <row r="76" spans="1:8" s="100" customFormat="1" ht="18.75" customHeight="1" x14ac:dyDescent="0.3">
      <c r="A76" s="232"/>
      <c r="B76" s="136" t="s">
        <v>328</v>
      </c>
      <c r="C76" s="136"/>
      <c r="D76" s="137">
        <v>9125.7000000000007</v>
      </c>
      <c r="E76" s="135">
        <v>2000</v>
      </c>
      <c r="F76" s="135">
        <f t="shared" si="0"/>
        <v>11125.7</v>
      </c>
      <c r="H76" s="140"/>
    </row>
    <row r="77" spans="1:8" s="100" customFormat="1" ht="18.75" customHeight="1" x14ac:dyDescent="0.3">
      <c r="A77" s="232"/>
      <c r="B77" s="136" t="s">
        <v>327</v>
      </c>
      <c r="C77" s="136"/>
      <c r="D77" s="137">
        <v>1126.5</v>
      </c>
      <c r="E77" s="135">
        <v>102</v>
      </c>
      <c r="F77" s="135">
        <f t="shared" ref="F77:F82" si="1">D77+E77</f>
        <v>1228.5</v>
      </c>
      <c r="H77" s="140"/>
    </row>
    <row r="78" spans="1:8" s="100" customFormat="1" ht="18.75" customHeight="1" x14ac:dyDescent="0.3">
      <c r="A78" s="232"/>
      <c r="B78" s="136" t="s">
        <v>337</v>
      </c>
      <c r="C78" s="136"/>
      <c r="D78" s="137">
        <v>7.8</v>
      </c>
      <c r="E78" s="135">
        <v>1.3</v>
      </c>
      <c r="F78" s="135">
        <f t="shared" si="1"/>
        <v>9.1</v>
      </c>
      <c r="H78" s="140"/>
    </row>
    <row r="79" spans="1:8" s="100" customFormat="1" ht="18.75" customHeight="1" x14ac:dyDescent="0.3">
      <c r="A79" s="232"/>
      <c r="B79" s="136" t="s">
        <v>338</v>
      </c>
      <c r="C79" s="136"/>
      <c r="D79" s="137">
        <v>403.2</v>
      </c>
      <c r="E79" s="135">
        <v>59</v>
      </c>
      <c r="F79" s="135">
        <f t="shared" si="1"/>
        <v>462.2</v>
      </c>
      <c r="H79" s="140"/>
    </row>
    <row r="80" spans="1:8" s="100" customFormat="1" ht="18.75" customHeight="1" x14ac:dyDescent="0.3">
      <c r="A80" s="232"/>
      <c r="B80" s="136" t="s">
        <v>104</v>
      </c>
      <c r="C80" s="136"/>
      <c r="D80" s="137">
        <v>98280</v>
      </c>
      <c r="E80" s="135">
        <v>-200</v>
      </c>
      <c r="F80" s="135">
        <f t="shared" si="1"/>
        <v>98080</v>
      </c>
      <c r="H80" s="140"/>
    </row>
    <row r="81" spans="1:8" s="100" customFormat="1" ht="18.75" customHeight="1" x14ac:dyDescent="0.3">
      <c r="A81" s="232"/>
      <c r="B81" s="136" t="s">
        <v>340</v>
      </c>
      <c r="C81" s="136"/>
      <c r="D81" s="137">
        <v>1163.4000000000001</v>
      </c>
      <c r="E81" s="135">
        <v>-20</v>
      </c>
      <c r="F81" s="135">
        <f t="shared" si="1"/>
        <v>1143.4000000000001</v>
      </c>
      <c r="H81" s="140"/>
    </row>
    <row r="82" spans="1:8" s="100" customFormat="1" ht="18.75" customHeight="1" x14ac:dyDescent="0.3">
      <c r="A82" s="232"/>
      <c r="B82" s="136" t="s">
        <v>341</v>
      </c>
      <c r="C82" s="136"/>
      <c r="D82" s="137">
        <v>266.60000000000002</v>
      </c>
      <c r="E82" s="135">
        <v>-100</v>
      </c>
      <c r="F82" s="135">
        <f t="shared" si="1"/>
        <v>166.60000000000002</v>
      </c>
      <c r="H82" s="140"/>
    </row>
    <row r="83" spans="1:8" s="100" customFormat="1" ht="18.75" customHeight="1" x14ac:dyDescent="0.3">
      <c r="A83" s="232"/>
      <c r="B83" s="136" t="s">
        <v>322</v>
      </c>
      <c r="C83" s="136"/>
      <c r="D83" s="137">
        <v>29683</v>
      </c>
      <c r="E83" s="135">
        <v>-2000</v>
      </c>
      <c r="F83" s="135">
        <f t="shared" si="0"/>
        <v>27683</v>
      </c>
      <c r="H83" s="140"/>
    </row>
    <row r="84" spans="1:8" s="100" customFormat="1" ht="18.75" customHeight="1" x14ac:dyDescent="0.3">
      <c r="A84" s="155" t="s">
        <v>26</v>
      </c>
      <c r="B84" s="136" t="s">
        <v>388</v>
      </c>
      <c r="C84" s="136"/>
      <c r="D84" s="137">
        <v>0</v>
      </c>
      <c r="E84" s="135">
        <v>2160</v>
      </c>
      <c r="F84" s="135">
        <f>D84+E84</f>
        <v>2160</v>
      </c>
      <c r="H84" s="140"/>
    </row>
    <row r="85" spans="1:8" s="100" customFormat="1" ht="18.75" customHeight="1" x14ac:dyDescent="0.3">
      <c r="A85" s="232" t="s">
        <v>356</v>
      </c>
      <c r="B85" s="232"/>
      <c r="C85" s="232"/>
      <c r="D85" s="232"/>
      <c r="E85" s="232"/>
      <c r="F85" s="232"/>
    </row>
    <row r="86" spans="1:8" s="100" customFormat="1" ht="18.75" customHeight="1" x14ac:dyDescent="0.3">
      <c r="A86" s="232" t="s">
        <v>30</v>
      </c>
      <c r="B86" s="136" t="s">
        <v>294</v>
      </c>
      <c r="C86" s="136"/>
      <c r="D86" s="137">
        <v>0</v>
      </c>
      <c r="E86" s="135">
        <v>63733.727129999999</v>
      </c>
      <c r="F86" s="135">
        <f t="shared" ref="F86:F87" si="2">D86+E86</f>
        <v>63733.727129999999</v>
      </c>
    </row>
    <row r="87" spans="1:8" s="100" customFormat="1" ht="18.75" customHeight="1" x14ac:dyDescent="0.3">
      <c r="A87" s="232"/>
      <c r="B87" s="136" t="s">
        <v>295</v>
      </c>
      <c r="C87" s="136"/>
      <c r="D87" s="137">
        <v>0</v>
      </c>
      <c r="E87" s="135">
        <v>67410.426160000003</v>
      </c>
      <c r="F87" s="135">
        <f t="shared" si="2"/>
        <v>67410.426160000003</v>
      </c>
    </row>
    <row r="88" spans="1:8" s="100" customFormat="1" ht="18.75" customHeight="1" x14ac:dyDescent="0.3">
      <c r="A88" s="232"/>
      <c r="B88" s="136" t="s">
        <v>260</v>
      </c>
      <c r="C88" s="136"/>
      <c r="D88" s="137">
        <v>3946.9217400000002</v>
      </c>
      <c r="E88" s="135">
        <f>2106.90007-3946.92174</f>
        <v>-1840.0216700000001</v>
      </c>
      <c r="F88" s="135">
        <f>D88+E88</f>
        <v>2106.9000700000001</v>
      </c>
    </row>
    <row r="89" spans="1:8" s="100" customFormat="1" ht="18.75" customHeight="1" x14ac:dyDescent="0.3">
      <c r="A89" s="232"/>
      <c r="B89" s="136" t="s">
        <v>278</v>
      </c>
      <c r="C89" s="136"/>
      <c r="D89" s="137">
        <v>0</v>
      </c>
      <c r="E89" s="135">
        <v>2228.4438399999999</v>
      </c>
      <c r="F89" s="135">
        <f>D89+E89</f>
        <v>2228.4438399999999</v>
      </c>
    </row>
    <row r="90" spans="1:8" s="100" customFormat="1" ht="18.75" customHeight="1" x14ac:dyDescent="0.3">
      <c r="A90" s="232" t="s">
        <v>25</v>
      </c>
      <c r="B90" s="136" t="s">
        <v>357</v>
      </c>
      <c r="C90" s="136"/>
      <c r="D90" s="137">
        <v>7239</v>
      </c>
      <c r="E90" s="135">
        <v>35344</v>
      </c>
      <c r="F90" s="135">
        <f t="shared" si="0"/>
        <v>42583</v>
      </c>
      <c r="H90" s="140"/>
    </row>
    <row r="91" spans="1:8" s="100" customFormat="1" ht="18.75" customHeight="1" x14ac:dyDescent="0.3">
      <c r="A91" s="232"/>
      <c r="B91" s="136" t="s">
        <v>323</v>
      </c>
      <c r="C91" s="136"/>
      <c r="D91" s="137">
        <v>1.2</v>
      </c>
      <c r="E91" s="135">
        <v>-1.2</v>
      </c>
      <c r="F91" s="135">
        <f t="shared" si="0"/>
        <v>0</v>
      </c>
      <c r="H91" s="140"/>
    </row>
    <row r="92" spans="1:8" s="100" customFormat="1" ht="18.75" customHeight="1" x14ac:dyDescent="0.3">
      <c r="A92" s="232" t="s">
        <v>358</v>
      </c>
      <c r="B92" s="232"/>
      <c r="C92" s="232"/>
      <c r="D92" s="232"/>
      <c r="E92" s="232"/>
      <c r="F92" s="232"/>
      <c r="H92" s="140"/>
    </row>
    <row r="93" spans="1:8" s="100" customFormat="1" ht="18.75" customHeight="1" x14ac:dyDescent="0.3">
      <c r="A93" s="232" t="s">
        <v>25</v>
      </c>
      <c r="B93" s="136" t="s">
        <v>357</v>
      </c>
      <c r="C93" s="136"/>
      <c r="D93" s="137">
        <v>7528</v>
      </c>
      <c r="E93" s="135">
        <v>36755</v>
      </c>
      <c r="F93" s="135">
        <f t="shared" si="0"/>
        <v>44283</v>
      </c>
      <c r="H93" s="140"/>
    </row>
    <row r="94" spans="1:8" s="100" customFormat="1" ht="18.75" customHeight="1" x14ac:dyDescent="0.3">
      <c r="A94" s="232"/>
      <c r="B94" s="136" t="s">
        <v>323</v>
      </c>
      <c r="C94" s="136"/>
      <c r="D94" s="137">
        <v>1.2</v>
      </c>
      <c r="E94" s="135">
        <v>-1.2</v>
      </c>
      <c r="F94" s="135">
        <f t="shared" si="0"/>
        <v>0</v>
      </c>
      <c r="H94" s="140"/>
    </row>
    <row r="95" spans="1:8" ht="22.5" customHeight="1" x14ac:dyDescent="0.35">
      <c r="A95" s="97" t="s">
        <v>6</v>
      </c>
      <c r="B95" s="236"/>
      <c r="C95" s="236"/>
      <c r="D95" s="101"/>
      <c r="E95" s="102">
        <f>SUM(E44:E48,E49:E83,E84)</f>
        <v>24291.399639999996</v>
      </c>
      <c r="F95" s="101"/>
      <c r="G95" s="103"/>
      <c r="H95" s="140"/>
    </row>
    <row r="96" spans="1:8" ht="22.5" customHeight="1" x14ac:dyDescent="0.3">
      <c r="A96" s="235" t="s">
        <v>271</v>
      </c>
      <c r="B96" s="235"/>
      <c r="C96" s="235"/>
      <c r="D96" s="235"/>
      <c r="E96" s="235"/>
      <c r="F96" s="235"/>
      <c r="H96" s="87"/>
    </row>
    <row r="97" spans="1:8" ht="18" customHeight="1" x14ac:dyDescent="0.3">
      <c r="A97" s="231" t="s">
        <v>244</v>
      </c>
      <c r="B97" s="231"/>
      <c r="C97" s="231"/>
      <c r="D97" s="231"/>
      <c r="E97" s="231"/>
      <c r="F97" s="231"/>
      <c r="H97" s="87"/>
    </row>
    <row r="98" spans="1:8" ht="232.5" customHeight="1" x14ac:dyDescent="0.3">
      <c r="A98" s="231" t="s">
        <v>446</v>
      </c>
      <c r="B98" s="231"/>
      <c r="C98" s="231"/>
      <c r="D98" s="231"/>
      <c r="E98" s="231"/>
      <c r="F98" s="231"/>
      <c r="H98" s="87"/>
    </row>
    <row r="99" spans="1:8" ht="128.25" customHeight="1" x14ac:dyDescent="0.3">
      <c r="A99" s="230" t="s">
        <v>475</v>
      </c>
      <c r="B99" s="230"/>
      <c r="C99" s="230"/>
      <c r="D99" s="230"/>
      <c r="E99" s="230"/>
      <c r="F99" s="230"/>
      <c r="H99" s="87"/>
    </row>
    <row r="100" spans="1:8" ht="187.5" customHeight="1" x14ac:dyDescent="0.3">
      <c r="A100" s="230" t="s">
        <v>477</v>
      </c>
      <c r="B100" s="230"/>
      <c r="C100" s="230"/>
      <c r="D100" s="230"/>
      <c r="E100" s="230"/>
      <c r="F100" s="230"/>
      <c r="H100" s="87"/>
    </row>
    <row r="101" spans="1:8" ht="172.5" customHeight="1" x14ac:dyDescent="0.3">
      <c r="A101" s="230" t="s">
        <v>476</v>
      </c>
      <c r="B101" s="230"/>
      <c r="C101" s="230"/>
      <c r="D101" s="230"/>
      <c r="E101" s="230"/>
      <c r="F101" s="230"/>
      <c r="H101" s="87"/>
    </row>
    <row r="102" spans="1:8" ht="159" customHeight="1" x14ac:dyDescent="0.3">
      <c r="A102" s="230" t="s">
        <v>468</v>
      </c>
      <c r="B102" s="230"/>
      <c r="C102" s="230"/>
      <c r="D102" s="230"/>
      <c r="E102" s="230"/>
      <c r="F102" s="230"/>
      <c r="H102" s="87"/>
    </row>
    <row r="103" spans="1:8" ht="87" customHeight="1" x14ac:dyDescent="0.3">
      <c r="A103" s="230" t="s">
        <v>467</v>
      </c>
      <c r="B103" s="230"/>
      <c r="C103" s="230"/>
      <c r="D103" s="230"/>
      <c r="E103" s="230"/>
      <c r="F103" s="230"/>
      <c r="H103" s="87"/>
    </row>
    <row r="104" spans="1:8" ht="103.5" customHeight="1" x14ac:dyDescent="0.3">
      <c r="A104" s="230" t="s">
        <v>465</v>
      </c>
      <c r="B104" s="230"/>
      <c r="C104" s="230"/>
      <c r="D104" s="230"/>
      <c r="E104" s="230"/>
      <c r="F104" s="230"/>
      <c r="H104" s="87"/>
    </row>
    <row r="105" spans="1:8" ht="126" customHeight="1" x14ac:dyDescent="0.3">
      <c r="A105" s="230" t="s">
        <v>470</v>
      </c>
      <c r="B105" s="230"/>
      <c r="C105" s="230"/>
      <c r="D105" s="230"/>
      <c r="E105" s="230"/>
      <c r="F105" s="230"/>
      <c r="H105" s="87"/>
    </row>
    <row r="106" spans="1:8" ht="150.75" customHeight="1" x14ac:dyDescent="0.3">
      <c r="A106" s="230" t="s">
        <v>459</v>
      </c>
      <c r="B106" s="230"/>
      <c r="C106" s="230"/>
      <c r="D106" s="230"/>
      <c r="E106" s="230"/>
      <c r="F106" s="230"/>
      <c r="H106" s="87"/>
    </row>
    <row r="107" spans="1:8" ht="165.75" customHeight="1" x14ac:dyDescent="0.3">
      <c r="A107" s="230" t="s">
        <v>435</v>
      </c>
      <c r="B107" s="230"/>
      <c r="C107" s="230"/>
      <c r="D107" s="230"/>
      <c r="E107" s="230"/>
      <c r="F107" s="230"/>
      <c r="H107" s="87"/>
    </row>
    <row r="108" spans="1:8" ht="54" customHeight="1" x14ac:dyDescent="0.3">
      <c r="A108" s="230" t="s">
        <v>436</v>
      </c>
      <c r="B108" s="230"/>
      <c r="C108" s="230"/>
      <c r="D108" s="230"/>
      <c r="E108" s="230"/>
      <c r="F108" s="230"/>
      <c r="H108" s="87"/>
    </row>
    <row r="109" spans="1:8" ht="38.25" customHeight="1" x14ac:dyDescent="0.3">
      <c r="A109" s="230" t="s">
        <v>437</v>
      </c>
      <c r="B109" s="230"/>
      <c r="C109" s="230"/>
      <c r="D109" s="230"/>
      <c r="E109" s="230"/>
      <c r="F109" s="230"/>
      <c r="H109" s="87"/>
    </row>
    <row r="110" spans="1:8" ht="62.25" customHeight="1" x14ac:dyDescent="0.3">
      <c r="A110" s="230" t="s">
        <v>438</v>
      </c>
      <c r="B110" s="230"/>
      <c r="C110" s="230"/>
      <c r="D110" s="230"/>
      <c r="E110" s="230"/>
      <c r="F110" s="230"/>
      <c r="H110" s="87"/>
    </row>
    <row r="111" spans="1:8" s="90" customFormat="1" ht="27.75" customHeight="1" x14ac:dyDescent="0.3">
      <c r="A111" s="231" t="s">
        <v>85</v>
      </c>
      <c r="B111" s="231"/>
      <c r="C111" s="231"/>
      <c r="D111" s="231"/>
      <c r="E111" s="231"/>
      <c r="F111" s="231"/>
      <c r="H111" s="87"/>
    </row>
    <row r="112" spans="1:8" s="90" customFormat="1" ht="170.25" customHeight="1" x14ac:dyDescent="0.3">
      <c r="A112" s="230" t="s">
        <v>447</v>
      </c>
      <c r="B112" s="230"/>
      <c r="C112" s="230"/>
      <c r="D112" s="230"/>
      <c r="E112" s="230"/>
      <c r="F112" s="230"/>
      <c r="H112" s="87"/>
    </row>
    <row r="113" spans="1:8" s="90" customFormat="1" ht="59.25" customHeight="1" x14ac:dyDescent="0.3">
      <c r="A113" s="230" t="s">
        <v>439</v>
      </c>
      <c r="B113" s="230"/>
      <c r="C113" s="230"/>
      <c r="D113" s="230"/>
      <c r="E113" s="230"/>
      <c r="F113" s="230"/>
      <c r="H113" s="87"/>
    </row>
    <row r="114" spans="1:8" s="90" customFormat="1" ht="45.75" customHeight="1" x14ac:dyDescent="0.3">
      <c r="A114" s="230" t="s">
        <v>487</v>
      </c>
      <c r="B114" s="230"/>
      <c r="C114" s="230"/>
      <c r="D114" s="230"/>
      <c r="E114" s="230"/>
      <c r="F114" s="230"/>
      <c r="H114" s="87"/>
    </row>
    <row r="115" spans="1:8" ht="24.75" customHeight="1" x14ac:dyDescent="0.3">
      <c r="A115" s="131" t="s">
        <v>31</v>
      </c>
      <c r="B115" s="132"/>
      <c r="C115" s="132"/>
      <c r="D115" s="132"/>
      <c r="E115" s="132"/>
      <c r="F115" s="132"/>
      <c r="H115" s="87"/>
    </row>
    <row r="116" spans="1:8" ht="263.25" customHeight="1" x14ac:dyDescent="0.3">
      <c r="A116" s="230" t="s">
        <v>484</v>
      </c>
      <c r="B116" s="230"/>
      <c r="C116" s="230"/>
      <c r="D116" s="230"/>
      <c r="E116" s="230"/>
      <c r="F116" s="230"/>
      <c r="H116" s="87"/>
    </row>
    <row r="117" spans="1:8" ht="96.75" customHeight="1" x14ac:dyDescent="0.3">
      <c r="A117" s="230" t="s">
        <v>483</v>
      </c>
      <c r="B117" s="230"/>
      <c r="C117" s="230"/>
      <c r="D117" s="230"/>
      <c r="E117" s="230"/>
      <c r="F117" s="230"/>
      <c r="H117" s="87"/>
    </row>
    <row r="118" spans="1:8" ht="87.75" customHeight="1" x14ac:dyDescent="0.3">
      <c r="A118" s="248" t="s">
        <v>490</v>
      </c>
      <c r="B118" s="249"/>
      <c r="C118" s="249"/>
      <c r="D118" s="249"/>
      <c r="E118" s="249"/>
      <c r="F118" s="249"/>
      <c r="H118" s="87"/>
    </row>
    <row r="119" spans="1:8" ht="18.75" x14ac:dyDescent="0.25">
      <c r="A119" s="127" t="s">
        <v>1</v>
      </c>
      <c r="B119" s="261" t="s">
        <v>2</v>
      </c>
      <c r="C119" s="262"/>
      <c r="D119" s="126" t="s">
        <v>3</v>
      </c>
      <c r="E119" s="126" t="s">
        <v>4</v>
      </c>
      <c r="F119" s="126" t="s">
        <v>5</v>
      </c>
      <c r="H119" s="87"/>
    </row>
    <row r="120" spans="1:8" ht="18.75" customHeight="1" x14ac:dyDescent="0.3">
      <c r="A120" s="275" t="s">
        <v>30</v>
      </c>
      <c r="B120" s="141" t="s">
        <v>397</v>
      </c>
      <c r="C120" s="142"/>
      <c r="D120" s="143">
        <v>2148.9</v>
      </c>
      <c r="E120" s="143">
        <f>616+456.8</f>
        <v>1072.8</v>
      </c>
      <c r="F120" s="144">
        <f t="shared" ref="F120:F254" si="3">SUM(D120:E120)</f>
        <v>3221.7</v>
      </c>
      <c r="H120" s="79"/>
    </row>
    <row r="121" spans="1:8" ht="18.75" customHeight="1" x14ac:dyDescent="0.3">
      <c r="A121" s="275"/>
      <c r="B121" s="145" t="s">
        <v>398</v>
      </c>
      <c r="C121" s="142"/>
      <c r="D121" s="143">
        <v>38881.599999999999</v>
      </c>
      <c r="E121" s="143">
        <v>5996.4</v>
      </c>
      <c r="F121" s="144">
        <f t="shared" si="3"/>
        <v>44878</v>
      </c>
      <c r="H121" s="79"/>
    </row>
    <row r="122" spans="1:8" ht="18.75" customHeight="1" x14ac:dyDescent="0.3">
      <c r="A122" s="275"/>
      <c r="B122" s="145" t="s">
        <v>423</v>
      </c>
      <c r="C122" s="142"/>
      <c r="D122" s="143">
        <v>440.3</v>
      </c>
      <c r="E122" s="143">
        <v>-1.1000000000000001</v>
      </c>
      <c r="F122" s="144">
        <f t="shared" si="3"/>
        <v>439.2</v>
      </c>
      <c r="H122" s="79"/>
    </row>
    <row r="123" spans="1:8" ht="18.75" customHeight="1" x14ac:dyDescent="0.3">
      <c r="A123" s="275"/>
      <c r="B123" s="145" t="s">
        <v>424</v>
      </c>
      <c r="C123" s="142"/>
      <c r="D123" s="143">
        <v>28</v>
      </c>
      <c r="E123" s="143">
        <v>1.1000000000000001</v>
      </c>
      <c r="F123" s="144">
        <f t="shared" si="3"/>
        <v>29.1</v>
      </c>
      <c r="H123" s="79"/>
    </row>
    <row r="124" spans="1:8" ht="18.75" customHeight="1" x14ac:dyDescent="0.3">
      <c r="A124" s="275"/>
      <c r="B124" s="246" t="s">
        <v>349</v>
      </c>
      <c r="C124" s="247"/>
      <c r="D124" s="143">
        <v>1544.1</v>
      </c>
      <c r="E124" s="146">
        <f>-1143.83026+2.18804+0.05223-115.5</f>
        <v>-1257.0899899999999</v>
      </c>
      <c r="F124" s="144">
        <f t="shared" si="3"/>
        <v>287.01000999999997</v>
      </c>
      <c r="H124" s="79"/>
    </row>
    <row r="125" spans="1:8" ht="18.75" customHeight="1" x14ac:dyDescent="0.3">
      <c r="A125" s="275"/>
      <c r="B125" s="147" t="s">
        <v>350</v>
      </c>
      <c r="C125" s="148"/>
      <c r="D125" s="143">
        <v>865.2</v>
      </c>
      <c r="E125" s="146">
        <f>200+109.3</f>
        <v>309.3</v>
      </c>
      <c r="F125" s="144">
        <f t="shared" si="3"/>
        <v>1174.5</v>
      </c>
      <c r="H125" s="79"/>
    </row>
    <row r="126" spans="1:8" ht="18.75" customHeight="1" x14ac:dyDescent="0.3">
      <c r="A126" s="275"/>
      <c r="B126" s="147" t="s">
        <v>396</v>
      </c>
      <c r="C126" s="148"/>
      <c r="D126" s="143">
        <v>3423.8</v>
      </c>
      <c r="E126" s="146">
        <v>-432</v>
      </c>
      <c r="F126" s="144">
        <f t="shared" si="3"/>
        <v>2991.8</v>
      </c>
      <c r="H126" s="79"/>
    </row>
    <row r="127" spans="1:8" ht="18.75" customHeight="1" x14ac:dyDescent="0.3">
      <c r="A127" s="275"/>
      <c r="B127" s="147" t="s">
        <v>399</v>
      </c>
      <c r="C127" s="148"/>
      <c r="D127" s="143">
        <v>20202.3</v>
      </c>
      <c r="E127" s="146">
        <v>1433.8</v>
      </c>
      <c r="F127" s="144">
        <f t="shared" si="3"/>
        <v>21636.1</v>
      </c>
      <c r="H127" s="79"/>
    </row>
    <row r="128" spans="1:8" ht="18.75" customHeight="1" x14ac:dyDescent="0.3">
      <c r="A128" s="275"/>
      <c r="B128" s="147" t="s">
        <v>411</v>
      </c>
      <c r="C128" s="148"/>
      <c r="D128" s="143">
        <v>3279.2</v>
      </c>
      <c r="E128" s="146">
        <v>-40.1</v>
      </c>
      <c r="F128" s="144">
        <f t="shared" si="3"/>
        <v>3239.1</v>
      </c>
      <c r="H128" s="79"/>
    </row>
    <row r="129" spans="1:8" ht="18.75" customHeight="1" x14ac:dyDescent="0.3">
      <c r="A129" s="275"/>
      <c r="B129" s="147" t="s">
        <v>400</v>
      </c>
      <c r="C129" s="148"/>
      <c r="D129" s="143">
        <v>5557.9</v>
      </c>
      <c r="E129" s="146">
        <f>906.1+142.2</f>
        <v>1048.3</v>
      </c>
      <c r="F129" s="144">
        <f t="shared" si="3"/>
        <v>6606.2</v>
      </c>
      <c r="H129" s="79"/>
    </row>
    <row r="130" spans="1:8" ht="18.75" customHeight="1" x14ac:dyDescent="0.3">
      <c r="A130" s="275"/>
      <c r="B130" s="141" t="s">
        <v>289</v>
      </c>
      <c r="C130" s="142"/>
      <c r="D130" s="143">
        <v>541.29999999999995</v>
      </c>
      <c r="E130" s="146">
        <f>-92.85-448.34777-0.05223</f>
        <v>-541.25</v>
      </c>
      <c r="F130" s="144">
        <f t="shared" ref="F130" si="4">SUM(D130:E130)</f>
        <v>4.9999999999954525E-2</v>
      </c>
      <c r="H130" s="79"/>
    </row>
    <row r="131" spans="1:8" ht="18.75" customHeight="1" x14ac:dyDescent="0.3">
      <c r="A131" s="275"/>
      <c r="B131" s="141" t="s">
        <v>290</v>
      </c>
      <c r="C131" s="142"/>
      <c r="D131" s="146">
        <v>113.75</v>
      </c>
      <c r="E131" s="146">
        <v>61.35</v>
      </c>
      <c r="F131" s="144">
        <f t="shared" si="3"/>
        <v>175.1</v>
      </c>
      <c r="H131" s="79"/>
    </row>
    <row r="132" spans="1:8" ht="18.75" customHeight="1" x14ac:dyDescent="0.3">
      <c r="A132" s="275"/>
      <c r="B132" s="141" t="s">
        <v>287</v>
      </c>
      <c r="C132" s="142"/>
      <c r="D132" s="146">
        <f>F45</f>
        <v>11500</v>
      </c>
      <c r="E132" s="146">
        <v>355.67009999999999</v>
      </c>
      <c r="F132" s="144">
        <f t="shared" si="3"/>
        <v>11855.670099999999</v>
      </c>
      <c r="H132" s="79"/>
    </row>
    <row r="133" spans="1:8" ht="18.75" customHeight="1" x14ac:dyDescent="0.3">
      <c r="A133" s="275"/>
      <c r="B133" s="141" t="s">
        <v>286</v>
      </c>
      <c r="C133" s="142"/>
      <c r="D133" s="146">
        <f>F46</f>
        <v>2996.578</v>
      </c>
      <c r="E133" s="146">
        <v>92.677670000000006</v>
      </c>
      <c r="F133" s="144">
        <f t="shared" si="3"/>
        <v>3089.25567</v>
      </c>
      <c r="H133" s="79"/>
    </row>
    <row r="134" spans="1:8" ht="18.75" customHeight="1" x14ac:dyDescent="0.3">
      <c r="A134" s="275"/>
      <c r="B134" s="141" t="s">
        <v>392</v>
      </c>
      <c r="C134" s="142"/>
      <c r="D134" s="146">
        <v>2150</v>
      </c>
      <c r="E134" s="146">
        <v>-413.5</v>
      </c>
      <c r="F134" s="144">
        <f t="shared" si="3"/>
        <v>1736.5</v>
      </c>
      <c r="H134" s="79"/>
    </row>
    <row r="135" spans="1:8" ht="18.75" customHeight="1" x14ac:dyDescent="0.3">
      <c r="A135" s="275"/>
      <c r="B135" s="141" t="s">
        <v>393</v>
      </c>
      <c r="C135" s="142"/>
      <c r="D135" s="146">
        <v>15180.9</v>
      </c>
      <c r="E135" s="146">
        <v>0.1</v>
      </c>
      <c r="F135" s="144">
        <f t="shared" si="3"/>
        <v>15181</v>
      </c>
      <c r="H135" s="79"/>
    </row>
    <row r="136" spans="1:8" ht="18.75" customHeight="1" x14ac:dyDescent="0.3">
      <c r="A136" s="275"/>
      <c r="B136" s="141" t="s">
        <v>394</v>
      </c>
      <c r="C136" s="142"/>
      <c r="D136" s="146">
        <v>9014.5</v>
      </c>
      <c r="E136" s="146">
        <v>-8062.2</v>
      </c>
      <c r="F136" s="144">
        <f t="shared" si="3"/>
        <v>952.30000000000018</v>
      </c>
      <c r="H136" s="79"/>
    </row>
    <row r="137" spans="1:8" ht="18.75" customHeight="1" x14ac:dyDescent="0.3">
      <c r="A137" s="275"/>
      <c r="B137" s="141" t="s">
        <v>395</v>
      </c>
      <c r="C137" s="142"/>
      <c r="D137" s="146">
        <v>2249</v>
      </c>
      <c r="E137" s="146">
        <v>-1261.2</v>
      </c>
      <c r="F137" s="144">
        <f t="shared" si="3"/>
        <v>987.8</v>
      </c>
      <c r="H137" s="79"/>
    </row>
    <row r="138" spans="1:8" ht="18.75" customHeight="1" x14ac:dyDescent="0.3">
      <c r="A138" s="275"/>
      <c r="B138" s="141" t="s">
        <v>294</v>
      </c>
      <c r="C138" s="142"/>
      <c r="D138" s="143">
        <v>58603.199999999997</v>
      </c>
      <c r="E138" s="143">
        <v>1994.8</v>
      </c>
      <c r="F138" s="144">
        <f t="shared" si="3"/>
        <v>60598</v>
      </c>
      <c r="H138" s="79"/>
    </row>
    <row r="139" spans="1:8" ht="18.75" customHeight="1" x14ac:dyDescent="0.3">
      <c r="A139" s="275"/>
      <c r="B139" s="141" t="s">
        <v>295</v>
      </c>
      <c r="C139" s="142"/>
      <c r="D139" s="143">
        <v>51959</v>
      </c>
      <c r="E139" s="143">
        <v>-1994.8</v>
      </c>
      <c r="F139" s="144">
        <f t="shared" si="3"/>
        <v>49964.2</v>
      </c>
      <c r="H139" s="79"/>
    </row>
    <row r="140" spans="1:8" ht="18.75" customHeight="1" x14ac:dyDescent="0.3">
      <c r="A140" s="275"/>
      <c r="B140" s="141" t="s">
        <v>260</v>
      </c>
      <c r="C140" s="142"/>
      <c r="D140" s="143">
        <v>3623.2</v>
      </c>
      <c r="E140" s="143">
        <v>-1229.5</v>
      </c>
      <c r="F140" s="144">
        <f t="shared" si="3"/>
        <v>2393.6999999999998</v>
      </c>
      <c r="H140" s="79"/>
    </row>
    <row r="141" spans="1:8" ht="18.75" x14ac:dyDescent="0.3">
      <c r="A141" s="275"/>
      <c r="B141" s="141" t="s">
        <v>278</v>
      </c>
      <c r="C141" s="139"/>
      <c r="D141" s="137">
        <v>2052.4</v>
      </c>
      <c r="E141" s="137">
        <v>1229.5</v>
      </c>
      <c r="F141" s="144">
        <f t="shared" ref="F141" si="5">SUM(D141:E141)</f>
        <v>3281.9</v>
      </c>
      <c r="H141" s="79"/>
    </row>
    <row r="142" spans="1:8" ht="18.75" x14ac:dyDescent="0.3">
      <c r="A142" s="275"/>
      <c r="B142" s="138" t="s">
        <v>309</v>
      </c>
      <c r="C142" s="139"/>
      <c r="D142" s="137">
        <f>F48</f>
        <v>5017.1904799999993</v>
      </c>
      <c r="E142" s="137">
        <v>-920.66974000000005</v>
      </c>
      <c r="F142" s="144">
        <f t="shared" ref="F142:F163" si="6">SUM(D142:E142)</f>
        <v>4096.520739999999</v>
      </c>
      <c r="H142" s="79"/>
    </row>
    <row r="143" spans="1:8" ht="18.75" x14ac:dyDescent="0.3">
      <c r="A143" s="275"/>
      <c r="B143" s="138" t="s">
        <v>376</v>
      </c>
      <c r="C143" s="139"/>
      <c r="D143" s="137">
        <v>60</v>
      </c>
      <c r="E143" s="137">
        <v>-0.7</v>
      </c>
      <c r="F143" s="144">
        <f t="shared" si="6"/>
        <v>59.3</v>
      </c>
      <c r="H143" s="79"/>
    </row>
    <row r="144" spans="1:8" ht="18.75" x14ac:dyDescent="0.3">
      <c r="A144" s="275"/>
      <c r="B144" s="138" t="s">
        <v>377</v>
      </c>
      <c r="C144" s="139"/>
      <c r="D144" s="137">
        <v>60</v>
      </c>
      <c r="E144" s="137">
        <v>-1.48804</v>
      </c>
      <c r="F144" s="144">
        <f t="shared" si="6"/>
        <v>58.511960000000002</v>
      </c>
      <c r="H144" s="79"/>
    </row>
    <row r="145" spans="1:8" ht="18.75" x14ac:dyDescent="0.3">
      <c r="A145" s="275"/>
      <c r="B145" s="138" t="s">
        <v>485</v>
      </c>
      <c r="C145" s="139"/>
      <c r="D145" s="137">
        <v>598.4</v>
      </c>
      <c r="E145" s="137">
        <v>500</v>
      </c>
      <c r="F145" s="144">
        <f t="shared" si="6"/>
        <v>1098.4000000000001</v>
      </c>
      <c r="H145" s="79"/>
    </row>
    <row r="146" spans="1:8" ht="18.75" x14ac:dyDescent="0.3">
      <c r="A146" s="275"/>
      <c r="B146" s="138" t="s">
        <v>330</v>
      </c>
      <c r="C146" s="139"/>
      <c r="D146" s="137">
        <v>3503.9</v>
      </c>
      <c r="E146" s="137">
        <f>-880+4.1</f>
        <v>-875.9</v>
      </c>
      <c r="F146" s="144">
        <f t="shared" si="6"/>
        <v>2628</v>
      </c>
      <c r="H146" s="79"/>
    </row>
    <row r="147" spans="1:8" ht="18.75" x14ac:dyDescent="0.3">
      <c r="A147" s="245" t="s">
        <v>414</v>
      </c>
      <c r="B147" s="138" t="s">
        <v>415</v>
      </c>
      <c r="C147" s="139"/>
      <c r="D147" s="137">
        <v>2992.2</v>
      </c>
      <c r="E147" s="137">
        <v>-1.7</v>
      </c>
      <c r="F147" s="144">
        <f t="shared" si="6"/>
        <v>2990.5</v>
      </c>
      <c r="H147" s="79"/>
    </row>
    <row r="148" spans="1:8" ht="18.75" x14ac:dyDescent="0.3">
      <c r="A148" s="245"/>
      <c r="B148" s="138" t="s">
        <v>416</v>
      </c>
      <c r="C148" s="139"/>
      <c r="D148" s="137">
        <v>454.1</v>
      </c>
      <c r="E148" s="137">
        <v>1.7</v>
      </c>
      <c r="F148" s="144">
        <f t="shared" si="6"/>
        <v>455.8</v>
      </c>
      <c r="H148" s="79"/>
    </row>
    <row r="149" spans="1:8" ht="18.75" x14ac:dyDescent="0.3">
      <c r="A149" s="245"/>
      <c r="B149" s="138" t="s">
        <v>417</v>
      </c>
      <c r="C149" s="139"/>
      <c r="D149" s="137">
        <v>3002.3</v>
      </c>
      <c r="E149" s="137">
        <v>8</v>
      </c>
      <c r="F149" s="144">
        <f t="shared" si="6"/>
        <v>3010.3</v>
      </c>
      <c r="H149" s="79"/>
    </row>
    <row r="150" spans="1:8" ht="18.75" x14ac:dyDescent="0.3">
      <c r="A150" s="243"/>
      <c r="B150" s="138" t="s">
        <v>418</v>
      </c>
      <c r="C150" s="139"/>
      <c r="D150" s="137">
        <v>1816</v>
      </c>
      <c r="E150" s="137">
        <v>-8</v>
      </c>
      <c r="F150" s="144">
        <f t="shared" si="6"/>
        <v>1808</v>
      </c>
      <c r="H150" s="79"/>
    </row>
    <row r="151" spans="1:8" ht="18.75" x14ac:dyDescent="0.3">
      <c r="A151" s="242" t="s">
        <v>366</v>
      </c>
      <c r="B151" s="138" t="s">
        <v>367</v>
      </c>
      <c r="C151" s="139"/>
      <c r="D151" s="137">
        <v>1719.6</v>
      </c>
      <c r="E151" s="137">
        <v>-4.7</v>
      </c>
      <c r="F151" s="144">
        <f t="shared" si="6"/>
        <v>1714.8999999999999</v>
      </c>
      <c r="H151" s="79"/>
    </row>
    <row r="152" spans="1:8" ht="18.75" x14ac:dyDescent="0.3">
      <c r="A152" s="243"/>
      <c r="B152" s="138" t="s">
        <v>368</v>
      </c>
      <c r="C152" s="139"/>
      <c r="D152" s="137">
        <v>455</v>
      </c>
      <c r="E152" s="137">
        <v>4.7</v>
      </c>
      <c r="F152" s="144">
        <f t="shared" si="6"/>
        <v>459.7</v>
      </c>
      <c r="H152" s="79"/>
    </row>
    <row r="153" spans="1:8" ht="18.75" x14ac:dyDescent="0.3">
      <c r="A153" s="242" t="s">
        <v>34</v>
      </c>
      <c r="B153" s="138" t="s">
        <v>471</v>
      </c>
      <c r="C153" s="139"/>
      <c r="D153" s="137">
        <v>1050</v>
      </c>
      <c r="E153" s="137">
        <v>-100</v>
      </c>
      <c r="F153" s="144">
        <f t="shared" ref="F153:F157" si="7">SUM(D153:E153)</f>
        <v>950</v>
      </c>
      <c r="H153" s="79"/>
    </row>
    <row r="154" spans="1:8" ht="18.75" x14ac:dyDescent="0.3">
      <c r="A154" s="245"/>
      <c r="B154" s="138" t="s">
        <v>472</v>
      </c>
      <c r="C154" s="139"/>
      <c r="D154" s="137">
        <v>250</v>
      </c>
      <c r="E154" s="137">
        <v>-50</v>
      </c>
      <c r="F154" s="144">
        <f t="shared" si="7"/>
        <v>200</v>
      </c>
      <c r="H154" s="79"/>
    </row>
    <row r="155" spans="1:8" ht="18.75" x14ac:dyDescent="0.3">
      <c r="A155" s="245"/>
      <c r="B155" s="138" t="s">
        <v>488</v>
      </c>
      <c r="C155" s="139"/>
      <c r="D155" s="137">
        <v>7310</v>
      </c>
      <c r="E155" s="137">
        <v>-3282.6</v>
      </c>
      <c r="F155" s="144">
        <f t="shared" si="7"/>
        <v>4027.4</v>
      </c>
      <c r="H155" s="79"/>
    </row>
    <row r="156" spans="1:8" ht="18.75" x14ac:dyDescent="0.3">
      <c r="A156" s="245"/>
      <c r="B156" s="138" t="s">
        <v>474</v>
      </c>
      <c r="C156" s="139"/>
      <c r="D156" s="137">
        <v>4800</v>
      </c>
      <c r="E156" s="137">
        <v>412.9</v>
      </c>
      <c r="F156" s="144">
        <f t="shared" si="7"/>
        <v>5212.8999999999996</v>
      </c>
      <c r="H156" s="79"/>
    </row>
    <row r="157" spans="1:8" ht="18.75" x14ac:dyDescent="0.3">
      <c r="A157" s="245"/>
      <c r="B157" s="138" t="s">
        <v>473</v>
      </c>
      <c r="C157" s="139"/>
      <c r="D157" s="137">
        <v>500</v>
      </c>
      <c r="E157" s="137">
        <v>-100</v>
      </c>
      <c r="F157" s="144">
        <f t="shared" si="7"/>
        <v>400</v>
      </c>
      <c r="H157" s="79"/>
    </row>
    <row r="158" spans="1:8" ht="18.75" x14ac:dyDescent="0.3">
      <c r="A158" s="245"/>
      <c r="B158" s="138" t="s">
        <v>302</v>
      </c>
      <c r="C158" s="139"/>
      <c r="D158" s="137">
        <v>8442.7000000000007</v>
      </c>
      <c r="E158" s="137">
        <f>681.3+667.5</f>
        <v>1348.8</v>
      </c>
      <c r="F158" s="144">
        <f t="shared" si="6"/>
        <v>9791.5</v>
      </c>
      <c r="H158" s="79"/>
    </row>
    <row r="159" spans="1:8" ht="18.75" x14ac:dyDescent="0.3">
      <c r="A159" s="245"/>
      <c r="B159" s="138" t="s">
        <v>303</v>
      </c>
      <c r="C159" s="139"/>
      <c r="D159" s="137">
        <v>902.4</v>
      </c>
      <c r="E159" s="137">
        <f>300-100</f>
        <v>200</v>
      </c>
      <c r="F159" s="144">
        <f t="shared" si="6"/>
        <v>1102.4000000000001</v>
      </c>
      <c r="H159" s="79"/>
    </row>
    <row r="160" spans="1:8" ht="18.75" x14ac:dyDescent="0.3">
      <c r="A160" s="245"/>
      <c r="B160" s="138" t="s">
        <v>304</v>
      </c>
      <c r="C160" s="139"/>
      <c r="D160" s="137">
        <v>10</v>
      </c>
      <c r="E160" s="137">
        <v>63</v>
      </c>
      <c r="F160" s="144">
        <f t="shared" si="6"/>
        <v>73</v>
      </c>
      <c r="H160" s="79"/>
    </row>
    <row r="161" spans="1:8" ht="18.75" x14ac:dyDescent="0.3">
      <c r="A161" s="245"/>
      <c r="B161" s="138" t="s">
        <v>307</v>
      </c>
      <c r="C161" s="139"/>
      <c r="D161" s="137">
        <v>700</v>
      </c>
      <c r="E161" s="137">
        <v>-563</v>
      </c>
      <c r="F161" s="144">
        <f t="shared" si="6"/>
        <v>137</v>
      </c>
      <c r="H161" s="79"/>
    </row>
    <row r="162" spans="1:8" ht="18.75" x14ac:dyDescent="0.3">
      <c r="A162" s="245"/>
      <c r="B162" s="138" t="s">
        <v>305</v>
      </c>
      <c r="C162" s="139"/>
      <c r="D162" s="137">
        <v>2657.7</v>
      </c>
      <c r="E162" s="137">
        <f>200-62.9</f>
        <v>137.1</v>
      </c>
      <c r="F162" s="144">
        <f t="shared" si="6"/>
        <v>2794.7999999999997</v>
      </c>
      <c r="H162" s="79"/>
    </row>
    <row r="163" spans="1:8" ht="18.75" customHeight="1" thickBot="1" x14ac:dyDescent="0.35">
      <c r="A163" s="276"/>
      <c r="B163" s="139" t="s">
        <v>306</v>
      </c>
      <c r="C163" s="142"/>
      <c r="D163" s="143">
        <v>2568.1999999999998</v>
      </c>
      <c r="E163" s="143">
        <v>-681.3</v>
      </c>
      <c r="F163" s="144">
        <f t="shared" si="6"/>
        <v>1886.8999999999999</v>
      </c>
      <c r="H163" s="79"/>
    </row>
    <row r="164" spans="1:8" ht="18.75" x14ac:dyDescent="0.3">
      <c r="A164" s="244" t="s">
        <v>8</v>
      </c>
      <c r="B164" s="138" t="s">
        <v>284</v>
      </c>
      <c r="C164" s="139"/>
      <c r="D164" s="137">
        <v>24471.8</v>
      </c>
      <c r="E164" s="137">
        <f>905.1+1300</f>
        <v>2205.1</v>
      </c>
      <c r="F164" s="144">
        <f t="shared" ref="F164:F165" si="8">SUM(D164:E164)</f>
        <v>26676.899999999998</v>
      </c>
      <c r="H164" s="79"/>
    </row>
    <row r="165" spans="1:8" ht="18.75" x14ac:dyDescent="0.3">
      <c r="A165" s="245"/>
      <c r="B165" s="138" t="s">
        <v>285</v>
      </c>
      <c r="C165" s="139"/>
      <c r="D165" s="137">
        <v>12575.8</v>
      </c>
      <c r="E165" s="137">
        <f>360.4+24.2+13.4-39.7+36</f>
        <v>394.29999999999995</v>
      </c>
      <c r="F165" s="144">
        <f t="shared" si="8"/>
        <v>12970.099999999999</v>
      </c>
      <c r="H165" s="79"/>
    </row>
    <row r="166" spans="1:8" ht="18.75" x14ac:dyDescent="0.3">
      <c r="A166" s="245"/>
      <c r="B166" s="138" t="s">
        <v>253</v>
      </c>
      <c r="C166" s="139"/>
      <c r="D166" s="137">
        <v>167562.6</v>
      </c>
      <c r="E166" s="137">
        <f>-205.3-1265.5+139.7+26.4+127+128+18.00228+138.5-2210-233.4+253.4</f>
        <v>-3083.1977200000001</v>
      </c>
      <c r="F166" s="144">
        <f t="shared" si="3"/>
        <v>164479.40228000001</v>
      </c>
      <c r="H166" s="79"/>
    </row>
    <row r="167" spans="1:8" ht="18.75" x14ac:dyDescent="0.3">
      <c r="A167" s="245"/>
      <c r="B167" s="138" t="s">
        <v>265</v>
      </c>
      <c r="C167" s="139"/>
      <c r="D167" s="137">
        <v>223.8</v>
      </c>
      <c r="E167" s="137">
        <f>56.6+43.4</f>
        <v>100</v>
      </c>
      <c r="F167" s="144">
        <f t="shared" ref="F167:F170" si="9">SUM(D167:E167)</f>
        <v>323.8</v>
      </c>
      <c r="H167" s="79"/>
    </row>
    <row r="168" spans="1:8" ht="18.75" x14ac:dyDescent="0.3">
      <c r="A168" s="245"/>
      <c r="B168" s="138" t="s">
        <v>310</v>
      </c>
      <c r="C168" s="139"/>
      <c r="D168" s="137">
        <f>F50</f>
        <v>41522.699999999997</v>
      </c>
      <c r="E168" s="137">
        <v>1625.7</v>
      </c>
      <c r="F168" s="144">
        <f t="shared" si="9"/>
        <v>43148.399999999994</v>
      </c>
      <c r="H168" s="79"/>
    </row>
    <row r="169" spans="1:8" ht="18.75" x14ac:dyDescent="0.3">
      <c r="A169" s="245"/>
      <c r="B169" s="138" t="s">
        <v>352</v>
      </c>
      <c r="C169" s="139"/>
      <c r="D169" s="137">
        <v>148.4</v>
      </c>
      <c r="E169" s="137">
        <f>16.5-3.2</f>
        <v>13.3</v>
      </c>
      <c r="F169" s="144">
        <f t="shared" si="9"/>
        <v>161.70000000000002</v>
      </c>
      <c r="H169" s="79"/>
    </row>
    <row r="170" spans="1:8" ht="18.75" x14ac:dyDescent="0.3">
      <c r="A170" s="245"/>
      <c r="B170" s="138" t="s">
        <v>311</v>
      </c>
      <c r="C170" s="139"/>
      <c r="D170" s="137">
        <f>F51</f>
        <v>206978.59999999998</v>
      </c>
      <c r="E170" s="137">
        <f>-1642.2+3.2</f>
        <v>-1639</v>
      </c>
      <c r="F170" s="144">
        <f t="shared" si="9"/>
        <v>205339.59999999998</v>
      </c>
      <c r="H170" s="79"/>
    </row>
    <row r="171" spans="1:8" ht="18.75" x14ac:dyDescent="0.3">
      <c r="A171" s="245"/>
      <c r="B171" s="138" t="s">
        <v>256</v>
      </c>
      <c r="C171" s="139"/>
      <c r="D171" s="137">
        <v>1785.3</v>
      </c>
      <c r="E171" s="137">
        <f>249.6-204.6-26.4+0.7+16.3-102.6</f>
        <v>-67</v>
      </c>
      <c r="F171" s="144">
        <f t="shared" si="3"/>
        <v>1718.3</v>
      </c>
      <c r="H171" s="79"/>
    </row>
    <row r="172" spans="1:8" ht="18.75" x14ac:dyDescent="0.3">
      <c r="A172" s="245"/>
      <c r="B172" s="138" t="s">
        <v>255</v>
      </c>
      <c r="C172" s="139"/>
      <c r="D172" s="137">
        <v>6244.3</v>
      </c>
      <c r="E172" s="137">
        <f>173.3-12.3+13.8+50.4+102.8+237.3+65.2</f>
        <v>630.5</v>
      </c>
      <c r="F172" s="144">
        <f t="shared" si="3"/>
        <v>6874.8</v>
      </c>
      <c r="H172" s="79"/>
    </row>
    <row r="173" spans="1:8" ht="18.75" x14ac:dyDescent="0.3">
      <c r="A173" s="245"/>
      <c r="B173" s="138" t="s">
        <v>478</v>
      </c>
      <c r="C173" s="139"/>
      <c r="D173" s="137">
        <v>1258.5999999999999</v>
      </c>
      <c r="E173" s="137">
        <f>-75.9+14.8</f>
        <v>-61.100000000000009</v>
      </c>
      <c r="F173" s="144">
        <f t="shared" si="3"/>
        <v>1197.5</v>
      </c>
      <c r="H173" s="79"/>
    </row>
    <row r="174" spans="1:8" ht="18.75" x14ac:dyDescent="0.3">
      <c r="A174" s="245"/>
      <c r="B174" s="138" t="s">
        <v>261</v>
      </c>
      <c r="C174" s="139"/>
      <c r="D174" s="137">
        <v>8240.7999999999993</v>
      </c>
      <c r="E174" s="137">
        <f>29.9+55.4+50.6+56.6+160.6</f>
        <v>353.1</v>
      </c>
      <c r="F174" s="144">
        <f t="shared" si="3"/>
        <v>8593.9</v>
      </c>
      <c r="H174" s="79"/>
    </row>
    <row r="175" spans="1:8" ht="18.75" x14ac:dyDescent="0.3">
      <c r="A175" s="245"/>
      <c r="B175" s="138" t="s">
        <v>279</v>
      </c>
      <c r="C175" s="139"/>
      <c r="D175" s="137">
        <f>F54</f>
        <v>34854.700000000004</v>
      </c>
      <c r="E175" s="137">
        <v>1.7</v>
      </c>
      <c r="F175" s="144">
        <f t="shared" si="3"/>
        <v>34856.400000000001</v>
      </c>
      <c r="H175" s="79"/>
    </row>
    <row r="176" spans="1:8" ht="18.75" x14ac:dyDescent="0.3">
      <c r="A176" s="245"/>
      <c r="B176" s="138" t="s">
        <v>39</v>
      </c>
      <c r="C176" s="139"/>
      <c r="D176" s="137">
        <f>F55</f>
        <v>14360.5</v>
      </c>
      <c r="E176" s="137">
        <f>371.8-8.7</f>
        <v>363.1</v>
      </c>
      <c r="F176" s="144">
        <f t="shared" ref="F176" si="10">SUM(D176:E176)</f>
        <v>14723.6</v>
      </c>
      <c r="H176" s="79"/>
    </row>
    <row r="177" spans="1:8" ht="18.75" x14ac:dyDescent="0.3">
      <c r="A177" s="245"/>
      <c r="B177" s="138" t="s">
        <v>183</v>
      </c>
      <c r="C177" s="139"/>
      <c r="D177" s="137">
        <f>F56</f>
        <v>1122.9000000000001</v>
      </c>
      <c r="E177" s="137">
        <f>-373.5+8.7</f>
        <v>-364.8</v>
      </c>
      <c r="F177" s="144">
        <f t="shared" si="3"/>
        <v>758.10000000000014</v>
      </c>
      <c r="H177" s="79"/>
    </row>
    <row r="178" spans="1:8" ht="18.75" x14ac:dyDescent="0.3">
      <c r="A178" s="245"/>
      <c r="B178" s="136" t="s">
        <v>466</v>
      </c>
      <c r="C178" s="139"/>
      <c r="D178" s="137">
        <v>1777.3</v>
      </c>
      <c r="E178" s="137">
        <v>-2.4500000000000002</v>
      </c>
      <c r="F178" s="144">
        <f t="shared" si="3"/>
        <v>1774.85</v>
      </c>
      <c r="H178" s="79"/>
    </row>
    <row r="179" spans="1:8" ht="18.75" x14ac:dyDescent="0.3">
      <c r="A179" s="245"/>
      <c r="B179" s="136" t="s">
        <v>299</v>
      </c>
      <c r="C179" s="139"/>
      <c r="D179" s="137">
        <f>F53</f>
        <v>326041.5</v>
      </c>
      <c r="E179" s="137">
        <v>2.4500000000000002</v>
      </c>
      <c r="F179" s="144">
        <f t="shared" si="3"/>
        <v>326043.95</v>
      </c>
      <c r="H179" s="79"/>
    </row>
    <row r="180" spans="1:8" ht="18.75" x14ac:dyDescent="0.3">
      <c r="A180" s="245"/>
      <c r="B180" s="138" t="s">
        <v>291</v>
      </c>
      <c r="C180" s="139"/>
      <c r="D180" s="137">
        <v>70948.3</v>
      </c>
      <c r="E180" s="137">
        <f>907.3+1106.6+2160-18.00228+335.4+24.3+390.3</f>
        <v>4905.8977199999999</v>
      </c>
      <c r="F180" s="144">
        <f t="shared" si="3"/>
        <v>75854.197719999996</v>
      </c>
      <c r="H180" s="79"/>
    </row>
    <row r="181" spans="1:8" ht="18.75" x14ac:dyDescent="0.3">
      <c r="A181" s="245"/>
      <c r="B181" s="138" t="s">
        <v>259</v>
      </c>
      <c r="C181" s="139"/>
      <c r="D181" s="137">
        <v>6364.4</v>
      </c>
      <c r="E181" s="137">
        <f>96.8+71.6+10+95.6+203+16.5+120.5</f>
        <v>614</v>
      </c>
      <c r="F181" s="144">
        <f t="shared" ref="F181" si="11">SUM(D181:E181)</f>
        <v>6978.4</v>
      </c>
      <c r="H181" s="79"/>
    </row>
    <row r="182" spans="1:8" ht="18.75" x14ac:dyDescent="0.3">
      <c r="A182" s="245"/>
      <c r="B182" s="138" t="s">
        <v>292</v>
      </c>
      <c r="C182" s="139"/>
      <c r="D182" s="137">
        <v>703.3</v>
      </c>
      <c r="E182" s="137">
        <f>-46.8-10-203-21.4</f>
        <v>-281.2</v>
      </c>
      <c r="F182" s="144">
        <f t="shared" ref="F182:F183" si="12">SUM(D182:E182)</f>
        <v>422.09999999999997</v>
      </c>
      <c r="H182" s="79"/>
    </row>
    <row r="183" spans="1:8" ht="18.75" x14ac:dyDescent="0.3">
      <c r="A183" s="245"/>
      <c r="B183" s="138" t="s">
        <v>293</v>
      </c>
      <c r="C183" s="139"/>
      <c r="D183" s="137">
        <v>12187.4</v>
      </c>
      <c r="E183" s="137">
        <f>-1909-1431.1-531.9-377.6-817.5</f>
        <v>-5067.1000000000004</v>
      </c>
      <c r="F183" s="144">
        <f t="shared" si="12"/>
        <v>7120.2999999999993</v>
      </c>
      <c r="H183" s="79"/>
    </row>
    <row r="184" spans="1:8" ht="18.75" x14ac:dyDescent="0.3">
      <c r="A184" s="245"/>
      <c r="B184" s="138" t="s">
        <v>262</v>
      </c>
      <c r="C184" s="139"/>
      <c r="D184" s="137">
        <v>1445.5</v>
      </c>
      <c r="E184" s="137">
        <f>132+151.2-28.2-135.1+136.5+217.7</f>
        <v>474.09999999999997</v>
      </c>
      <c r="F184" s="144">
        <f t="shared" si="3"/>
        <v>1919.6</v>
      </c>
      <c r="H184" s="79"/>
    </row>
    <row r="185" spans="1:8" ht="18.75" x14ac:dyDescent="0.3">
      <c r="A185" s="245"/>
      <c r="B185" s="138" t="s">
        <v>254</v>
      </c>
      <c r="C185" s="139"/>
      <c r="D185" s="137">
        <v>132881</v>
      </c>
      <c r="E185" s="137">
        <f>413.5-3+531.9-207.3+26+800+279.1+76.2</f>
        <v>1916.3999999999999</v>
      </c>
      <c r="F185" s="144">
        <f t="shared" si="3"/>
        <v>134797.4</v>
      </c>
      <c r="H185" s="79"/>
    </row>
    <row r="186" spans="1:8" ht="18.75" x14ac:dyDescent="0.3">
      <c r="A186" s="245"/>
      <c r="B186" s="138" t="s">
        <v>479</v>
      </c>
      <c r="C186" s="139"/>
      <c r="D186" s="137">
        <v>20.100000000000001</v>
      </c>
      <c r="E186" s="137">
        <v>-2.9</v>
      </c>
      <c r="F186" s="144">
        <f t="shared" si="3"/>
        <v>17.200000000000003</v>
      </c>
      <c r="H186" s="79"/>
    </row>
    <row r="187" spans="1:8" ht="18.75" x14ac:dyDescent="0.3">
      <c r="A187" s="245"/>
      <c r="B187" s="138" t="s">
        <v>480</v>
      </c>
      <c r="C187" s="139"/>
      <c r="D187" s="137">
        <v>63.7</v>
      </c>
      <c r="E187" s="137">
        <f>-1.2+2.2</f>
        <v>1.0000000000000002</v>
      </c>
      <c r="F187" s="144">
        <f t="shared" si="3"/>
        <v>64.7</v>
      </c>
      <c r="H187" s="79"/>
    </row>
    <row r="188" spans="1:8" ht="18.75" x14ac:dyDescent="0.3">
      <c r="A188" s="245"/>
      <c r="B188" s="138" t="s">
        <v>372</v>
      </c>
      <c r="C188" s="139"/>
      <c r="D188" s="137">
        <v>0</v>
      </c>
      <c r="E188" s="137">
        <v>3</v>
      </c>
      <c r="F188" s="144">
        <f t="shared" si="3"/>
        <v>3</v>
      </c>
      <c r="H188" s="79"/>
    </row>
    <row r="189" spans="1:8" ht="18.75" x14ac:dyDescent="0.3">
      <c r="A189" s="245"/>
      <c r="B189" s="138" t="s">
        <v>481</v>
      </c>
      <c r="C189" s="139"/>
      <c r="D189" s="137">
        <v>277.10000000000002</v>
      </c>
      <c r="E189" s="137">
        <f>4.6+4.6</f>
        <v>9.1999999999999993</v>
      </c>
      <c r="F189" s="144">
        <f t="shared" si="3"/>
        <v>286.3</v>
      </c>
      <c r="H189" s="79"/>
    </row>
    <row r="190" spans="1:8" ht="18.75" x14ac:dyDescent="0.3">
      <c r="A190" s="245"/>
      <c r="B190" s="138" t="s">
        <v>281</v>
      </c>
      <c r="C190" s="139"/>
      <c r="D190" s="137">
        <v>22459.7</v>
      </c>
      <c r="E190" s="137">
        <f>175.2+2.6+6.9+110+1.3</f>
        <v>296</v>
      </c>
      <c r="F190" s="144">
        <f t="shared" si="3"/>
        <v>22755.7</v>
      </c>
      <c r="H190" s="79"/>
    </row>
    <row r="191" spans="1:8" ht="18.75" x14ac:dyDescent="0.3">
      <c r="A191" s="245"/>
      <c r="B191" s="138" t="s">
        <v>380</v>
      </c>
      <c r="C191" s="139"/>
      <c r="D191" s="137">
        <v>2764.5</v>
      </c>
      <c r="E191" s="137">
        <v>-0.11967999999999999</v>
      </c>
      <c r="F191" s="144">
        <f t="shared" ref="F191" si="13">SUM(D191:E191)</f>
        <v>2764.3803200000002</v>
      </c>
      <c r="G191" s="149"/>
      <c r="H191" s="79"/>
    </row>
    <row r="192" spans="1:8" ht="18.75" x14ac:dyDescent="0.3">
      <c r="A192" s="245"/>
      <c r="B192" s="138" t="s">
        <v>381</v>
      </c>
      <c r="C192" s="139"/>
      <c r="D192" s="137">
        <v>350.6</v>
      </c>
      <c r="E192" s="137">
        <v>0.11967999999999999</v>
      </c>
      <c r="F192" s="144">
        <f t="shared" si="3"/>
        <v>350.71968000000004</v>
      </c>
      <c r="G192" s="149"/>
      <c r="H192" s="79"/>
    </row>
    <row r="193" spans="1:8" ht="18.75" x14ac:dyDescent="0.3">
      <c r="A193" s="245"/>
      <c r="B193" s="138" t="s">
        <v>454</v>
      </c>
      <c r="C193" s="139"/>
      <c r="D193" s="137">
        <v>4099.2</v>
      </c>
      <c r="E193" s="137">
        <f>105.3+50+60.5+15+8.7+100+48.7+141.3</f>
        <v>529.5</v>
      </c>
      <c r="F193" s="144">
        <f t="shared" ref="F193" si="14">SUM(D193:E193)</f>
        <v>4628.7</v>
      </c>
      <c r="G193" s="149"/>
      <c r="H193" s="79"/>
    </row>
    <row r="194" spans="1:8" ht="18.75" x14ac:dyDescent="0.3">
      <c r="A194" s="245"/>
      <c r="B194" s="138" t="s">
        <v>455</v>
      </c>
      <c r="C194" s="139"/>
      <c r="D194" s="137">
        <v>74.3</v>
      </c>
      <c r="E194" s="137">
        <v>-4</v>
      </c>
      <c r="F194" s="144">
        <f t="shared" si="3"/>
        <v>70.3</v>
      </c>
      <c r="H194" s="79"/>
    </row>
    <row r="195" spans="1:8" ht="18.75" x14ac:dyDescent="0.3">
      <c r="A195" s="245"/>
      <c r="B195" s="138" t="s">
        <v>456</v>
      </c>
      <c r="C195" s="139"/>
      <c r="D195" s="137">
        <v>18964.400000000001</v>
      </c>
      <c r="E195" s="137">
        <f>-1.1+125.9+34.9+17.2</f>
        <v>176.9</v>
      </c>
      <c r="F195" s="144">
        <f t="shared" ref="F195:F204" si="15">SUM(D195:E195)</f>
        <v>19141.300000000003</v>
      </c>
      <c r="H195" s="79"/>
    </row>
    <row r="196" spans="1:8" ht="18.75" x14ac:dyDescent="0.3">
      <c r="A196" s="245"/>
      <c r="B196" s="138" t="s">
        <v>457</v>
      </c>
      <c r="C196" s="139"/>
      <c r="D196" s="137">
        <v>20.6</v>
      </c>
      <c r="E196" s="137">
        <v>85.4</v>
      </c>
      <c r="F196" s="144">
        <f t="shared" si="15"/>
        <v>106</v>
      </c>
      <c r="H196" s="79"/>
    </row>
    <row r="197" spans="1:8" ht="18.75" x14ac:dyDescent="0.3">
      <c r="A197" s="245"/>
      <c r="B197" s="138" t="s">
        <v>458</v>
      </c>
      <c r="C197" s="139"/>
      <c r="D197" s="137">
        <v>571.20000000000005</v>
      </c>
      <c r="E197" s="137">
        <v>-94.1</v>
      </c>
      <c r="F197" s="144">
        <f t="shared" si="15"/>
        <v>477.1</v>
      </c>
      <c r="H197" s="79"/>
    </row>
    <row r="198" spans="1:8" ht="18.75" x14ac:dyDescent="0.3">
      <c r="A198" s="245"/>
      <c r="B198" s="138" t="s">
        <v>296</v>
      </c>
      <c r="C198" s="139"/>
      <c r="D198" s="137">
        <v>372.4</v>
      </c>
      <c r="E198" s="137">
        <v>5.4</v>
      </c>
      <c r="F198" s="144">
        <f t="shared" si="15"/>
        <v>377.79999999999995</v>
      </c>
      <c r="H198" s="79"/>
    </row>
    <row r="199" spans="1:8" ht="18.75" x14ac:dyDescent="0.3">
      <c r="A199" s="245"/>
      <c r="B199" s="138" t="s">
        <v>297</v>
      </c>
      <c r="C199" s="139"/>
      <c r="D199" s="137">
        <v>1632.6</v>
      </c>
      <c r="E199" s="137">
        <v>-5.4</v>
      </c>
      <c r="F199" s="144">
        <f t="shared" si="15"/>
        <v>1627.1999999999998</v>
      </c>
      <c r="H199" s="79"/>
    </row>
    <row r="200" spans="1:8" ht="18.75" x14ac:dyDescent="0.3">
      <c r="A200" s="245"/>
      <c r="B200" s="138" t="s">
        <v>421</v>
      </c>
      <c r="C200" s="139"/>
      <c r="D200" s="137">
        <v>1369.3</v>
      </c>
      <c r="E200" s="137">
        <v>-28</v>
      </c>
      <c r="F200" s="144">
        <f t="shared" si="15"/>
        <v>1341.3</v>
      </c>
      <c r="H200" s="79"/>
    </row>
    <row r="201" spans="1:8" ht="18.75" x14ac:dyDescent="0.3">
      <c r="A201" s="245"/>
      <c r="B201" s="138" t="s">
        <v>382</v>
      </c>
      <c r="C201" s="139"/>
      <c r="D201" s="137">
        <v>1.3</v>
      </c>
      <c r="E201" s="137">
        <f>0.2+0.02079+0.3</f>
        <v>0.52078999999999998</v>
      </c>
      <c r="F201" s="144">
        <f t="shared" si="15"/>
        <v>1.8207900000000001</v>
      </c>
      <c r="H201" s="79"/>
    </row>
    <row r="202" spans="1:8" ht="18.75" x14ac:dyDescent="0.3">
      <c r="A202" s="245"/>
      <c r="B202" s="138" t="s">
        <v>383</v>
      </c>
      <c r="C202" s="139"/>
      <c r="D202" s="137">
        <v>271.10000000000002</v>
      </c>
      <c r="E202" s="137">
        <f>-0.2+4.15787+40.8</f>
        <v>44.757869999999997</v>
      </c>
      <c r="F202" s="144">
        <f t="shared" ref="F202" si="16">SUM(D202:E202)</f>
        <v>315.85787000000005</v>
      </c>
      <c r="H202" s="79"/>
    </row>
    <row r="203" spans="1:8" ht="18.75" x14ac:dyDescent="0.3">
      <c r="A203" s="243"/>
      <c r="B203" s="138" t="s">
        <v>314</v>
      </c>
      <c r="C203" s="139"/>
      <c r="D203" s="137">
        <v>1987.7</v>
      </c>
      <c r="E203" s="137">
        <f>-4.15787-0.02079-41.1</f>
        <v>-45.278660000000002</v>
      </c>
      <c r="F203" s="144">
        <f t="shared" si="15"/>
        <v>1942.4213400000001</v>
      </c>
      <c r="H203" s="79"/>
    </row>
    <row r="204" spans="1:8" ht="18.75" x14ac:dyDescent="0.3">
      <c r="A204" s="242" t="s">
        <v>14</v>
      </c>
      <c r="B204" s="136" t="s">
        <v>282</v>
      </c>
      <c r="C204" s="136"/>
      <c r="D204" s="137">
        <v>912</v>
      </c>
      <c r="E204" s="137">
        <f>-8.9-60-150.4</f>
        <v>-219.3</v>
      </c>
      <c r="F204" s="144">
        <f t="shared" si="15"/>
        <v>692.7</v>
      </c>
      <c r="H204" s="79"/>
    </row>
    <row r="205" spans="1:8" ht="18.75" x14ac:dyDescent="0.3">
      <c r="A205" s="245"/>
      <c r="B205" s="136" t="s">
        <v>469</v>
      </c>
      <c r="C205" s="136"/>
      <c r="D205" s="137">
        <v>0</v>
      </c>
      <c r="E205" s="137">
        <v>150.4</v>
      </c>
      <c r="F205" s="144">
        <f t="shared" ref="F205" si="17">SUM(D205:E205)</f>
        <v>150.4</v>
      </c>
      <c r="H205" s="87"/>
    </row>
    <row r="206" spans="1:8" ht="18.75" x14ac:dyDescent="0.3">
      <c r="A206" s="245"/>
      <c r="B206" s="136" t="s">
        <v>249</v>
      </c>
      <c r="C206" s="136"/>
      <c r="D206" s="137">
        <v>33470.199999999997</v>
      </c>
      <c r="E206" s="137">
        <f>-7.2-6.7+60+429.7+2</f>
        <v>477.8</v>
      </c>
      <c r="F206" s="144">
        <f t="shared" si="3"/>
        <v>33948</v>
      </c>
      <c r="H206" s="87"/>
    </row>
    <row r="207" spans="1:8" ht="18.75" x14ac:dyDescent="0.3">
      <c r="A207" s="245"/>
      <c r="B207" s="136" t="s">
        <v>391</v>
      </c>
      <c r="C207" s="136"/>
      <c r="D207" s="137">
        <v>7111.3</v>
      </c>
      <c r="E207" s="137">
        <v>-7.5</v>
      </c>
      <c r="F207" s="144">
        <f t="shared" si="3"/>
        <v>7103.8</v>
      </c>
      <c r="H207" s="87"/>
    </row>
    <row r="208" spans="1:8" ht="18.75" x14ac:dyDescent="0.3">
      <c r="A208" s="245"/>
      <c r="B208" s="136" t="s">
        <v>462</v>
      </c>
      <c r="C208" s="136"/>
      <c r="D208" s="137">
        <v>2078.1</v>
      </c>
      <c r="E208" s="137">
        <f>-28.8+24.9</f>
        <v>-3.9000000000000021</v>
      </c>
      <c r="F208" s="144">
        <f t="shared" si="3"/>
        <v>2074.1999999999998</v>
      </c>
      <c r="H208" s="87"/>
    </row>
    <row r="209" spans="1:8" ht="18.75" x14ac:dyDescent="0.3">
      <c r="A209" s="245"/>
      <c r="B209" s="136" t="s">
        <v>346</v>
      </c>
      <c r="C209" s="136"/>
      <c r="D209" s="137">
        <v>62581.599999999999</v>
      </c>
      <c r="E209" s="137">
        <f>6.3+31.5+37.7-429.7-629.9-2</f>
        <v>-986.09999999999991</v>
      </c>
      <c r="F209" s="144">
        <f t="shared" si="3"/>
        <v>61595.5</v>
      </c>
      <c r="H209" s="87"/>
    </row>
    <row r="210" spans="1:8" ht="18.75" x14ac:dyDescent="0.3">
      <c r="A210" s="245"/>
      <c r="B210" s="136" t="s">
        <v>361</v>
      </c>
      <c r="C210" s="136"/>
      <c r="D210" s="137">
        <v>4629.6000000000004</v>
      </c>
      <c r="E210" s="137">
        <f>-2.7-129.4</f>
        <v>-132.1</v>
      </c>
      <c r="F210" s="144">
        <f t="shared" si="3"/>
        <v>4497.5</v>
      </c>
      <c r="H210" s="87"/>
    </row>
    <row r="211" spans="1:8" ht="18.75" x14ac:dyDescent="0.3">
      <c r="A211" s="245"/>
      <c r="B211" s="136" t="s">
        <v>347</v>
      </c>
      <c r="C211" s="136"/>
      <c r="D211" s="137">
        <v>20775.3</v>
      </c>
      <c r="E211" s="137">
        <f>0.9-12.9-685.6-24.9</f>
        <v>-722.5</v>
      </c>
      <c r="F211" s="144">
        <f t="shared" si="3"/>
        <v>20052.8</v>
      </c>
      <c r="H211" s="87"/>
    </row>
    <row r="212" spans="1:8" ht="18.75" x14ac:dyDescent="0.3">
      <c r="A212" s="245"/>
      <c r="B212" s="136" t="s">
        <v>362</v>
      </c>
      <c r="C212" s="136"/>
      <c r="D212" s="137">
        <v>83.3</v>
      </c>
      <c r="E212" s="137">
        <f>-8.9-3.6</f>
        <v>-12.5</v>
      </c>
      <c r="F212" s="144">
        <f t="shared" si="3"/>
        <v>70.8</v>
      </c>
      <c r="H212" s="87"/>
    </row>
    <row r="213" spans="1:8" ht="18.75" x14ac:dyDescent="0.3">
      <c r="A213" s="245"/>
      <c r="B213" s="136" t="s">
        <v>363</v>
      </c>
      <c r="C213" s="136"/>
      <c r="D213" s="137">
        <v>11.7</v>
      </c>
      <c r="E213" s="137">
        <v>-0.3</v>
      </c>
      <c r="F213" s="144">
        <f t="shared" si="3"/>
        <v>11.399999999999999</v>
      </c>
      <c r="H213" s="87"/>
    </row>
    <row r="214" spans="1:8" ht="18.75" x14ac:dyDescent="0.3">
      <c r="A214" s="245"/>
      <c r="B214" s="136" t="s">
        <v>451</v>
      </c>
      <c r="C214" s="136"/>
      <c r="D214" s="137">
        <v>21630.1</v>
      </c>
      <c r="E214" s="137">
        <v>-31.3</v>
      </c>
      <c r="F214" s="144">
        <f t="shared" si="3"/>
        <v>21598.799999999999</v>
      </c>
      <c r="H214" s="87"/>
    </row>
    <row r="215" spans="1:8" ht="18.75" x14ac:dyDescent="0.3">
      <c r="A215" s="245"/>
      <c r="B215" s="136" t="s">
        <v>300</v>
      </c>
      <c r="C215" s="136"/>
      <c r="D215" s="137">
        <v>489.7</v>
      </c>
      <c r="E215" s="137">
        <f>-3+11.1</f>
        <v>8.1</v>
      </c>
      <c r="F215" s="144">
        <f t="shared" si="3"/>
        <v>497.8</v>
      </c>
      <c r="H215" s="87"/>
    </row>
    <row r="216" spans="1:8" ht="18.75" x14ac:dyDescent="0.3">
      <c r="A216" s="245"/>
      <c r="B216" s="136" t="s">
        <v>301</v>
      </c>
      <c r="C216" s="136"/>
      <c r="D216" s="137">
        <v>30</v>
      </c>
      <c r="E216" s="137">
        <v>3</v>
      </c>
      <c r="F216" s="144">
        <f t="shared" si="3"/>
        <v>33</v>
      </c>
      <c r="H216" s="87"/>
    </row>
    <row r="217" spans="1:8" ht="18.75" x14ac:dyDescent="0.3">
      <c r="A217" s="243"/>
      <c r="B217" s="136" t="s">
        <v>422</v>
      </c>
      <c r="C217" s="136"/>
      <c r="D217" s="137">
        <v>204</v>
      </c>
      <c r="E217" s="137">
        <v>28</v>
      </c>
      <c r="F217" s="144">
        <f t="shared" si="3"/>
        <v>232</v>
      </c>
      <c r="H217" s="87"/>
    </row>
    <row r="218" spans="1:8" ht="18.75" x14ac:dyDescent="0.3">
      <c r="A218" s="242" t="s">
        <v>353</v>
      </c>
      <c r="B218" s="136" t="s">
        <v>369</v>
      </c>
      <c r="C218" s="136"/>
      <c r="D218" s="137">
        <v>3529.2</v>
      </c>
      <c r="E218" s="137">
        <f>-230.6-2704.2</f>
        <v>-2934.7999999999997</v>
      </c>
      <c r="F218" s="144">
        <f t="shared" si="3"/>
        <v>594.40000000000009</v>
      </c>
      <c r="H218" s="87"/>
    </row>
    <row r="219" spans="1:8" ht="18.75" x14ac:dyDescent="0.3">
      <c r="A219" s="245"/>
      <c r="B219" s="136" t="s">
        <v>370</v>
      </c>
      <c r="C219" s="136"/>
      <c r="D219" s="137">
        <v>15395.4</v>
      </c>
      <c r="E219" s="137">
        <f>230.6+230.6+551.9</f>
        <v>1013.0999999999999</v>
      </c>
      <c r="F219" s="144">
        <f t="shared" si="3"/>
        <v>16408.5</v>
      </c>
      <c r="H219" s="87"/>
    </row>
    <row r="220" spans="1:8" ht="18.75" x14ac:dyDescent="0.3">
      <c r="A220" s="245"/>
      <c r="B220" s="136" t="s">
        <v>354</v>
      </c>
      <c r="C220" s="136"/>
      <c r="D220" s="137">
        <v>48737.9</v>
      </c>
      <c r="E220" s="137">
        <f>-27.4-4.8+1245.6+2152.3</f>
        <v>3365.7</v>
      </c>
      <c r="F220" s="144">
        <f t="shared" si="3"/>
        <v>52103.6</v>
      </c>
      <c r="H220" s="87"/>
    </row>
    <row r="221" spans="1:8" ht="18.75" x14ac:dyDescent="0.3">
      <c r="A221" s="245"/>
      <c r="B221" s="136" t="s">
        <v>355</v>
      </c>
      <c r="C221" s="136"/>
      <c r="D221" s="137">
        <v>163.1</v>
      </c>
      <c r="E221" s="137">
        <f>27.4+4.8</f>
        <v>32.199999999999996</v>
      </c>
      <c r="F221" s="144">
        <f t="shared" si="3"/>
        <v>195.29999999999998</v>
      </c>
      <c r="H221" s="87"/>
    </row>
    <row r="222" spans="1:8" ht="18.75" x14ac:dyDescent="0.3">
      <c r="A222" s="245"/>
      <c r="B222" s="136" t="s">
        <v>385</v>
      </c>
      <c r="C222" s="136"/>
      <c r="D222" s="137">
        <v>42</v>
      </c>
      <c r="E222" s="137">
        <v>-4</v>
      </c>
      <c r="F222" s="144">
        <f t="shared" si="3"/>
        <v>38</v>
      </c>
      <c r="H222" s="87"/>
    </row>
    <row r="223" spans="1:8" ht="18.75" x14ac:dyDescent="0.3">
      <c r="A223" s="243"/>
      <c r="B223" s="136" t="s">
        <v>386</v>
      </c>
      <c r="C223" s="136"/>
      <c r="D223" s="137">
        <v>328</v>
      </c>
      <c r="E223" s="137">
        <v>4</v>
      </c>
      <c r="F223" s="144">
        <f t="shared" si="3"/>
        <v>332</v>
      </c>
      <c r="H223" s="87"/>
    </row>
    <row r="224" spans="1:8" ht="18.75" x14ac:dyDescent="0.3">
      <c r="A224" s="242" t="s">
        <v>25</v>
      </c>
      <c r="B224" s="136" t="s">
        <v>412</v>
      </c>
      <c r="C224" s="136"/>
      <c r="D224" s="137">
        <v>36.700000000000003</v>
      </c>
      <c r="E224" s="137">
        <f>3.4+3.6</f>
        <v>7</v>
      </c>
      <c r="F224" s="144">
        <f t="shared" ref="F224" si="18">SUM(D224:E224)</f>
        <v>43.7</v>
      </c>
      <c r="H224" s="87"/>
    </row>
    <row r="225" spans="1:8" ht="18.75" x14ac:dyDescent="0.3">
      <c r="A225" s="245"/>
      <c r="B225" s="136" t="s">
        <v>378</v>
      </c>
      <c r="C225" s="136"/>
      <c r="D225" s="137">
        <v>7339</v>
      </c>
      <c r="E225" s="137">
        <f>284.1+747+763</f>
        <v>1794.1</v>
      </c>
      <c r="F225" s="144">
        <f t="shared" si="3"/>
        <v>9133.1</v>
      </c>
      <c r="H225" s="87"/>
    </row>
    <row r="226" spans="1:8" ht="18.75" x14ac:dyDescent="0.3">
      <c r="A226" s="245"/>
      <c r="B226" s="136" t="s">
        <v>373</v>
      </c>
      <c r="C226" s="136"/>
      <c r="D226" s="137">
        <v>0</v>
      </c>
      <c r="E226" s="137">
        <v>20.399999999999999</v>
      </c>
      <c r="F226" s="144">
        <f t="shared" si="3"/>
        <v>20.399999999999999</v>
      </c>
      <c r="H226" s="87"/>
    </row>
    <row r="227" spans="1:8" ht="18.75" x14ac:dyDescent="0.3">
      <c r="A227" s="245"/>
      <c r="B227" s="136" t="s">
        <v>374</v>
      </c>
      <c r="C227" s="136"/>
      <c r="D227" s="137">
        <v>21.3</v>
      </c>
      <c r="E227" s="137">
        <v>3</v>
      </c>
      <c r="F227" s="144">
        <f t="shared" si="3"/>
        <v>24.3</v>
      </c>
      <c r="H227" s="87"/>
    </row>
    <row r="228" spans="1:8" ht="18.75" x14ac:dyDescent="0.3">
      <c r="A228" s="245"/>
      <c r="B228" s="136" t="s">
        <v>345</v>
      </c>
      <c r="C228" s="136"/>
      <c r="D228" s="137">
        <f>F63</f>
        <v>42426.400000000001</v>
      </c>
      <c r="E228" s="137">
        <v>-0.7</v>
      </c>
      <c r="F228" s="144">
        <f t="shared" si="3"/>
        <v>42425.700000000004</v>
      </c>
      <c r="H228" s="87"/>
    </row>
    <row r="229" spans="1:8" ht="18.75" x14ac:dyDescent="0.3">
      <c r="A229" s="245"/>
      <c r="B229" s="136" t="s">
        <v>101</v>
      </c>
      <c r="C229" s="136"/>
      <c r="D229" s="137">
        <f>F64</f>
        <v>8008.1</v>
      </c>
      <c r="E229" s="137">
        <v>4.0999999999999996</v>
      </c>
      <c r="F229" s="144">
        <f t="shared" si="3"/>
        <v>8012.2000000000007</v>
      </c>
      <c r="H229" s="87"/>
    </row>
    <row r="230" spans="1:8" ht="18.75" x14ac:dyDescent="0.3">
      <c r="A230" s="245"/>
      <c r="B230" s="136" t="s">
        <v>100</v>
      </c>
      <c r="C230" s="136"/>
      <c r="D230" s="137">
        <v>295</v>
      </c>
      <c r="E230" s="137">
        <v>-3.4</v>
      </c>
      <c r="F230" s="144">
        <f t="shared" si="3"/>
        <v>291.60000000000002</v>
      </c>
      <c r="H230" s="87"/>
    </row>
    <row r="231" spans="1:8" ht="18.75" x14ac:dyDescent="0.3">
      <c r="A231" s="245"/>
      <c r="B231" s="136" t="s">
        <v>371</v>
      </c>
      <c r="C231" s="136"/>
      <c r="D231" s="137">
        <v>25952.2</v>
      </c>
      <c r="E231" s="137">
        <v>0.5</v>
      </c>
      <c r="F231" s="144">
        <f t="shared" si="3"/>
        <v>25952.7</v>
      </c>
      <c r="H231" s="87"/>
    </row>
    <row r="232" spans="1:8" ht="18.75" x14ac:dyDescent="0.3">
      <c r="A232" s="245"/>
      <c r="B232" s="136" t="s">
        <v>114</v>
      </c>
      <c r="C232" s="136"/>
      <c r="D232" s="137">
        <v>1234</v>
      </c>
      <c r="E232" s="137">
        <v>-0.5</v>
      </c>
      <c r="F232" s="144">
        <f t="shared" si="3"/>
        <v>1233.5</v>
      </c>
      <c r="H232" s="87"/>
    </row>
    <row r="233" spans="1:8" ht="18.75" x14ac:dyDescent="0.3">
      <c r="A233" s="245"/>
      <c r="B233" s="136" t="s">
        <v>419</v>
      </c>
      <c r="C233" s="136"/>
      <c r="D233" s="137">
        <v>17.8</v>
      </c>
      <c r="E233" s="137">
        <v>-17.8</v>
      </c>
      <c r="F233" s="144">
        <f t="shared" si="3"/>
        <v>0</v>
      </c>
      <c r="H233" s="87"/>
    </row>
    <row r="234" spans="1:8" ht="18.75" x14ac:dyDescent="0.3">
      <c r="A234" s="245"/>
      <c r="B234" s="136" t="s">
        <v>379</v>
      </c>
      <c r="C234" s="136"/>
      <c r="D234" s="137">
        <v>2089.6999999999998</v>
      </c>
      <c r="E234" s="137">
        <v>-284.10000000000002</v>
      </c>
      <c r="F234" s="144">
        <f t="shared" si="3"/>
        <v>1805.6</v>
      </c>
      <c r="H234" s="87"/>
    </row>
    <row r="235" spans="1:8" ht="18.75" x14ac:dyDescent="0.3">
      <c r="A235" s="245"/>
      <c r="B235" s="136" t="s">
        <v>420</v>
      </c>
      <c r="C235" s="136"/>
      <c r="D235" s="137">
        <v>486</v>
      </c>
      <c r="E235" s="137">
        <f>17.8+46.6</f>
        <v>64.400000000000006</v>
      </c>
      <c r="F235" s="144">
        <f t="shared" si="3"/>
        <v>550.4</v>
      </c>
      <c r="H235" s="87"/>
    </row>
    <row r="236" spans="1:8" ht="18.75" x14ac:dyDescent="0.3">
      <c r="A236" s="245"/>
      <c r="B236" s="136" t="s">
        <v>460</v>
      </c>
      <c r="C236" s="136"/>
      <c r="D236" s="137">
        <v>60</v>
      </c>
      <c r="E236" s="137">
        <v>-1.5</v>
      </c>
      <c r="F236" s="144">
        <f t="shared" si="3"/>
        <v>58.5</v>
      </c>
      <c r="H236" s="87"/>
    </row>
    <row r="237" spans="1:8" ht="18.75" x14ac:dyDescent="0.3">
      <c r="A237" s="245"/>
      <c r="B237" s="136" t="s">
        <v>461</v>
      </c>
      <c r="C237" s="136"/>
      <c r="D237" s="137">
        <v>390</v>
      </c>
      <c r="E237" s="137">
        <v>-45.1</v>
      </c>
      <c r="F237" s="144">
        <f t="shared" si="3"/>
        <v>344.9</v>
      </c>
      <c r="H237" s="87"/>
    </row>
    <row r="238" spans="1:8" ht="18.75" x14ac:dyDescent="0.3">
      <c r="A238" s="245"/>
      <c r="B238" s="136" t="s">
        <v>315</v>
      </c>
      <c r="C238" s="136"/>
      <c r="D238" s="137">
        <v>0</v>
      </c>
      <c r="E238" s="137">
        <v>200</v>
      </c>
      <c r="F238" s="144">
        <f t="shared" si="3"/>
        <v>200</v>
      </c>
      <c r="H238" s="87"/>
    </row>
    <row r="239" spans="1:8" ht="18.75" x14ac:dyDescent="0.3">
      <c r="A239" s="243"/>
      <c r="B239" s="136" t="s">
        <v>277</v>
      </c>
      <c r="C239" s="136"/>
      <c r="D239" s="137">
        <v>200</v>
      </c>
      <c r="E239" s="137">
        <v>-200</v>
      </c>
      <c r="F239" s="144">
        <f t="shared" si="3"/>
        <v>0</v>
      </c>
      <c r="H239" s="79"/>
    </row>
    <row r="240" spans="1:8" ht="18.75" x14ac:dyDescent="0.3">
      <c r="A240" s="242" t="s">
        <v>26</v>
      </c>
      <c r="B240" s="136" t="s">
        <v>410</v>
      </c>
      <c r="C240" s="136"/>
      <c r="D240" s="137">
        <v>1571.7</v>
      </c>
      <c r="E240" s="137">
        <v>-10</v>
      </c>
      <c r="F240" s="144">
        <f t="shared" si="3"/>
        <v>1561.7</v>
      </c>
      <c r="H240" s="79"/>
    </row>
    <row r="241" spans="1:8" ht="18.75" x14ac:dyDescent="0.3">
      <c r="A241" s="245"/>
      <c r="B241" s="136" t="s">
        <v>316</v>
      </c>
      <c r="C241" s="136"/>
      <c r="D241" s="137">
        <v>21487.7</v>
      </c>
      <c r="E241" s="137">
        <v>-2500</v>
      </c>
      <c r="F241" s="144">
        <f t="shared" ref="F241" si="19">SUM(D241:E241)</f>
        <v>18987.7</v>
      </c>
      <c r="H241" s="79"/>
    </row>
    <row r="242" spans="1:8" ht="18.75" x14ac:dyDescent="0.3">
      <c r="A242" s="245"/>
      <c r="B242" s="136" t="s">
        <v>317</v>
      </c>
      <c r="C242" s="136"/>
      <c r="D242" s="137">
        <v>13935.7</v>
      </c>
      <c r="E242" s="137">
        <v>200</v>
      </c>
      <c r="F242" s="144">
        <f t="shared" ref="F242:F248" si="20">SUM(D242:E242)</f>
        <v>14135.7</v>
      </c>
      <c r="H242" s="79"/>
    </row>
    <row r="243" spans="1:8" ht="18.75" x14ac:dyDescent="0.3">
      <c r="A243" s="245"/>
      <c r="B243" s="136" t="s">
        <v>283</v>
      </c>
      <c r="C243" s="136"/>
      <c r="D243" s="137">
        <v>188586.4</v>
      </c>
      <c r="E243" s="137">
        <v>2300</v>
      </c>
      <c r="F243" s="144">
        <f t="shared" si="20"/>
        <v>190886.39999999999</v>
      </c>
      <c r="H243" s="79"/>
    </row>
    <row r="244" spans="1:8" ht="18.75" x14ac:dyDescent="0.3">
      <c r="A244" s="245"/>
      <c r="B244" s="136" t="s">
        <v>409</v>
      </c>
      <c r="C244" s="136"/>
      <c r="D244" s="137">
        <v>2484.6999999999998</v>
      </c>
      <c r="E244" s="137">
        <v>50</v>
      </c>
      <c r="F244" s="144">
        <f t="shared" si="20"/>
        <v>2534.6999999999998</v>
      </c>
      <c r="H244" s="79"/>
    </row>
    <row r="245" spans="1:8" ht="18.75" x14ac:dyDescent="0.3">
      <c r="A245" s="245"/>
      <c r="B245" s="136" t="s">
        <v>407</v>
      </c>
      <c r="C245" s="136"/>
      <c r="D245" s="137">
        <v>4200</v>
      </c>
      <c r="E245" s="137">
        <v>1500</v>
      </c>
      <c r="F245" s="144">
        <f t="shared" si="20"/>
        <v>5700</v>
      </c>
      <c r="H245" s="79"/>
    </row>
    <row r="246" spans="1:8" ht="18.75" x14ac:dyDescent="0.3">
      <c r="A246" s="245"/>
      <c r="B246" s="136" t="s">
        <v>318</v>
      </c>
      <c r="C246" s="136"/>
      <c r="D246" s="137">
        <v>1182.0999999999999</v>
      </c>
      <c r="E246" s="137">
        <v>12.550509999999999</v>
      </c>
      <c r="F246" s="144">
        <f t="shared" si="20"/>
        <v>1194.6505099999999</v>
      </c>
      <c r="H246" s="79"/>
    </row>
    <row r="247" spans="1:8" ht="18.75" x14ac:dyDescent="0.3">
      <c r="A247" s="245"/>
      <c r="B247" s="136" t="s">
        <v>319</v>
      </c>
      <c r="C247" s="136"/>
      <c r="D247" s="137">
        <v>22460.2</v>
      </c>
      <c r="E247" s="137">
        <v>238.45977999999999</v>
      </c>
      <c r="F247" s="144">
        <f t="shared" si="20"/>
        <v>22698.659780000002</v>
      </c>
      <c r="H247" s="87"/>
    </row>
    <row r="248" spans="1:8" ht="18.75" x14ac:dyDescent="0.3">
      <c r="A248" s="245"/>
      <c r="B248" s="136" t="s">
        <v>320</v>
      </c>
      <c r="C248" s="136"/>
      <c r="D248" s="137">
        <v>181.64</v>
      </c>
      <c r="E248" s="137">
        <v>-12.550509999999999</v>
      </c>
      <c r="F248" s="144">
        <f t="shared" si="20"/>
        <v>169.08948999999998</v>
      </c>
      <c r="H248" s="87"/>
    </row>
    <row r="249" spans="1:8" ht="18.75" x14ac:dyDescent="0.3">
      <c r="A249" s="245"/>
      <c r="B249" s="136" t="s">
        <v>321</v>
      </c>
      <c r="C249" s="136"/>
      <c r="D249" s="137">
        <v>3451.2</v>
      </c>
      <c r="E249" s="137">
        <v>-238.45977999999999</v>
      </c>
      <c r="F249" s="144">
        <f t="shared" si="3"/>
        <v>3212.7402199999997</v>
      </c>
      <c r="H249" s="87"/>
    </row>
    <row r="250" spans="1:8" ht="18.75" x14ac:dyDescent="0.3">
      <c r="A250" s="245"/>
      <c r="B250" s="136" t="s">
        <v>389</v>
      </c>
      <c r="C250" s="136"/>
      <c r="D250" s="137">
        <v>731.2</v>
      </c>
      <c r="E250" s="137">
        <f>-240-40</f>
        <v>-280</v>
      </c>
      <c r="F250" s="144">
        <f t="shared" si="3"/>
        <v>451.20000000000005</v>
      </c>
      <c r="H250" s="87"/>
    </row>
    <row r="251" spans="1:8" ht="18.75" x14ac:dyDescent="0.3">
      <c r="A251" s="245"/>
      <c r="B251" s="136" t="s">
        <v>390</v>
      </c>
      <c r="C251" s="136"/>
      <c r="D251" s="137">
        <v>0</v>
      </c>
      <c r="E251" s="137">
        <v>240</v>
      </c>
      <c r="F251" s="144">
        <f t="shared" si="3"/>
        <v>240</v>
      </c>
      <c r="H251" s="87"/>
    </row>
    <row r="252" spans="1:8" ht="18.75" x14ac:dyDescent="0.3">
      <c r="A252" s="245"/>
      <c r="B252" s="136" t="s">
        <v>408</v>
      </c>
      <c r="C252" s="136"/>
      <c r="D252" s="137">
        <v>4000</v>
      </c>
      <c r="E252" s="137">
        <v>-1500</v>
      </c>
      <c r="F252" s="144">
        <f t="shared" si="3"/>
        <v>2500</v>
      </c>
      <c r="H252" s="87"/>
    </row>
    <row r="253" spans="1:8" ht="18.75" x14ac:dyDescent="0.3">
      <c r="A253" s="245"/>
      <c r="B253" s="133" t="s">
        <v>364</v>
      </c>
      <c r="C253" s="150"/>
      <c r="D253" s="151">
        <v>442.6</v>
      </c>
      <c r="E253" s="152">
        <v>69</v>
      </c>
      <c r="F253" s="137">
        <f t="shared" si="3"/>
        <v>511.6</v>
      </c>
      <c r="G253" s="58"/>
      <c r="H253" s="87"/>
    </row>
    <row r="254" spans="1:8" ht="18.75" x14ac:dyDescent="0.3">
      <c r="A254" s="243"/>
      <c r="B254" s="133" t="s">
        <v>365</v>
      </c>
      <c r="C254" s="150"/>
      <c r="D254" s="151">
        <v>847.8</v>
      </c>
      <c r="E254" s="152">
        <v>-69</v>
      </c>
      <c r="F254" s="137">
        <f t="shared" si="3"/>
        <v>778.8</v>
      </c>
      <c r="G254" s="58"/>
      <c r="H254" s="87"/>
    </row>
    <row r="255" spans="1:8" ht="18.75" customHeight="1" x14ac:dyDescent="0.25">
      <c r="A255" s="278" t="s">
        <v>356</v>
      </c>
      <c r="B255" s="278"/>
      <c r="C255" s="278"/>
      <c r="D255" s="278"/>
      <c r="E255" s="278"/>
      <c r="F255" s="278"/>
      <c r="H255" s="79"/>
    </row>
    <row r="256" spans="1:8" ht="18.75" x14ac:dyDescent="0.3">
      <c r="A256" s="275" t="s">
        <v>30</v>
      </c>
      <c r="B256" s="136" t="s">
        <v>392</v>
      </c>
      <c r="C256" s="136"/>
      <c r="D256" s="137">
        <v>22885</v>
      </c>
      <c r="E256" s="137">
        <v>-3693.7</v>
      </c>
      <c r="F256" s="144">
        <f>SUM(D256:E256)</f>
        <v>19191.3</v>
      </c>
      <c r="H256" s="79"/>
    </row>
    <row r="257" spans="1:8" ht="18.75" x14ac:dyDescent="0.3">
      <c r="A257" s="275"/>
      <c r="B257" s="136" t="s">
        <v>394</v>
      </c>
      <c r="C257" s="136"/>
      <c r="D257" s="137">
        <v>0</v>
      </c>
      <c r="E257" s="137">
        <v>3693.7</v>
      </c>
      <c r="F257" s="144">
        <f>SUM(D257:E257)</f>
        <v>3693.7</v>
      </c>
      <c r="H257" s="79"/>
    </row>
    <row r="258" spans="1:8" ht="19.5" x14ac:dyDescent="0.35">
      <c r="A258" s="97" t="s">
        <v>6</v>
      </c>
      <c r="B258" s="260"/>
      <c r="C258" s="260"/>
      <c r="D258" s="98" t="s">
        <v>20</v>
      </c>
      <c r="E258" s="99">
        <f>SUM(E120:E254)</f>
        <v>23.400000000000091</v>
      </c>
      <c r="F258" s="98"/>
      <c r="H258" s="87"/>
    </row>
    <row r="259" spans="1:8" ht="24.75" customHeight="1" x14ac:dyDescent="0.35">
      <c r="A259" s="80"/>
      <c r="B259" s="81"/>
      <c r="C259" s="81"/>
      <c r="D259" s="82"/>
      <c r="E259" s="83"/>
      <c r="F259" s="83"/>
      <c r="G259" s="84"/>
      <c r="H259" s="87"/>
    </row>
    <row r="260" spans="1:8" ht="183" customHeight="1" x14ac:dyDescent="0.3">
      <c r="A260" s="263" t="s">
        <v>440</v>
      </c>
      <c r="B260" s="263"/>
      <c r="C260" s="263"/>
      <c r="D260" s="263"/>
      <c r="E260" s="263"/>
      <c r="F260" s="263"/>
      <c r="G260" s="84"/>
      <c r="H260" s="87"/>
    </row>
    <row r="261" spans="1:8" ht="24.75" customHeight="1" x14ac:dyDescent="0.35">
      <c r="A261" s="80"/>
      <c r="B261" s="81"/>
      <c r="C261" s="81"/>
      <c r="D261" s="82"/>
      <c r="E261" s="83"/>
      <c r="F261" s="83"/>
      <c r="G261" s="84"/>
      <c r="H261" s="87"/>
    </row>
    <row r="262" spans="1:8" s="58" customFormat="1" ht="21" customHeight="1" x14ac:dyDescent="0.3">
      <c r="A262" s="263" t="s">
        <v>270</v>
      </c>
      <c r="B262" s="263"/>
      <c r="C262" s="263"/>
      <c r="D262" s="263"/>
      <c r="E262" s="263"/>
      <c r="F262" s="263"/>
      <c r="G262" s="79"/>
      <c r="H262" s="87"/>
    </row>
    <row r="263" spans="1:8" ht="18" customHeight="1" x14ac:dyDescent="0.25">
      <c r="A263" s="56"/>
      <c r="B263" s="56"/>
      <c r="C263" s="91"/>
      <c r="D263" s="91"/>
      <c r="E263" s="91"/>
      <c r="F263" s="57" t="s">
        <v>248</v>
      </c>
      <c r="H263" s="87"/>
    </row>
    <row r="264" spans="1:8" ht="18.75" customHeight="1" x14ac:dyDescent="0.3">
      <c r="A264" s="264" t="s">
        <v>10</v>
      </c>
      <c r="B264" s="265"/>
      <c r="C264" s="264" t="s">
        <v>11</v>
      </c>
      <c r="D264" s="277"/>
      <c r="E264" s="277"/>
      <c r="F264" s="265"/>
      <c r="G264" s="89"/>
      <c r="H264" s="88"/>
    </row>
    <row r="265" spans="1:8" ht="18.75" customHeight="1" x14ac:dyDescent="0.25">
      <c r="A265" s="92"/>
      <c r="B265" s="93"/>
      <c r="C265" s="272" t="s">
        <v>263</v>
      </c>
      <c r="D265" s="272"/>
      <c r="E265" s="272"/>
      <c r="F265" s="269">
        <f>E95</f>
        <v>24291.399639999996</v>
      </c>
      <c r="H265" s="87"/>
    </row>
    <row r="266" spans="1:8" ht="19.5" customHeight="1" x14ac:dyDescent="0.25">
      <c r="A266" s="92" t="s">
        <v>12</v>
      </c>
      <c r="B266" s="93">
        <f>H5</f>
        <v>16505.400000000001</v>
      </c>
      <c r="C266" s="272"/>
      <c r="D266" s="272"/>
      <c r="E266" s="272"/>
      <c r="F266" s="270"/>
      <c r="G266" s="106">
        <f>F265-B266-B267-B268</f>
        <v>-3.6000000545755029E-4</v>
      </c>
      <c r="H266" s="87"/>
    </row>
    <row r="267" spans="1:8" ht="20.25" customHeight="1" x14ac:dyDescent="0.3">
      <c r="A267" s="153" t="s">
        <v>13</v>
      </c>
      <c r="B267" s="93">
        <f>H6</f>
        <v>7634</v>
      </c>
      <c r="C267" s="272"/>
      <c r="D267" s="272"/>
      <c r="E267" s="272"/>
      <c r="F267" s="270"/>
      <c r="H267" s="87"/>
    </row>
    <row r="268" spans="1:8" ht="18" customHeight="1" x14ac:dyDescent="0.25">
      <c r="A268" s="154" t="s">
        <v>28</v>
      </c>
      <c r="B268" s="93">
        <f>H7</f>
        <v>152</v>
      </c>
      <c r="C268" s="272"/>
      <c r="D268" s="272"/>
      <c r="E268" s="272"/>
      <c r="F268" s="271"/>
      <c r="H268" s="79"/>
    </row>
    <row r="269" spans="1:8" ht="0.75" customHeight="1" x14ac:dyDescent="0.25">
      <c r="A269" s="114" t="s">
        <v>252</v>
      </c>
      <c r="B269" s="115">
        <f>H14</f>
        <v>0</v>
      </c>
      <c r="C269" s="240"/>
      <c r="D269" s="240"/>
      <c r="E269" s="241"/>
      <c r="F269" s="129"/>
      <c r="H269" s="87"/>
    </row>
    <row r="270" spans="1:8" ht="24" customHeight="1" x14ac:dyDescent="0.25">
      <c r="A270" s="267" t="s">
        <v>84</v>
      </c>
      <c r="B270" s="274">
        <f>H8</f>
        <v>23.4</v>
      </c>
      <c r="C270" s="239" t="s">
        <v>486</v>
      </c>
      <c r="D270" s="240"/>
      <c r="E270" s="241"/>
      <c r="F270" s="93">
        <f>616+456.8+5996.4+500</f>
        <v>7569.2</v>
      </c>
      <c r="H270" s="87"/>
    </row>
    <row r="271" spans="1:8" ht="24" customHeight="1" x14ac:dyDescent="0.25">
      <c r="A271" s="268"/>
      <c r="B271" s="274"/>
      <c r="C271" s="239" t="s">
        <v>401</v>
      </c>
      <c r="D271" s="240"/>
      <c r="E271" s="241"/>
      <c r="F271" s="93">
        <f>-9736.8-432</f>
        <v>-10168.799999999999</v>
      </c>
      <c r="H271" s="87"/>
    </row>
    <row r="272" spans="1:8" ht="34.5" customHeight="1" x14ac:dyDescent="0.25">
      <c r="A272" s="268"/>
      <c r="B272" s="274"/>
      <c r="C272" s="239" t="s">
        <v>384</v>
      </c>
      <c r="D272" s="240"/>
      <c r="E272" s="241"/>
      <c r="F272" s="93">
        <v>-31.5</v>
      </c>
      <c r="H272" s="87"/>
    </row>
    <row r="273" spans="1:8" ht="18.75" x14ac:dyDescent="0.25">
      <c r="A273" s="268"/>
      <c r="B273" s="274"/>
      <c r="C273" s="239" t="s">
        <v>452</v>
      </c>
      <c r="D273" s="240"/>
      <c r="E273" s="241"/>
      <c r="F273" s="93">
        <v>-1476.2</v>
      </c>
      <c r="H273" s="87"/>
    </row>
    <row r="274" spans="1:8" ht="18.75" x14ac:dyDescent="0.25">
      <c r="A274" s="268"/>
      <c r="B274" s="274"/>
      <c r="C274" s="239" t="s">
        <v>453</v>
      </c>
      <c r="D274" s="240"/>
      <c r="E274" s="241"/>
      <c r="F274" s="93">
        <v>1476.2</v>
      </c>
      <c r="H274" s="87"/>
    </row>
    <row r="275" spans="1:8" ht="18.75" x14ac:dyDescent="0.25">
      <c r="A275" s="268"/>
      <c r="B275" s="274"/>
      <c r="C275" s="239" t="s">
        <v>402</v>
      </c>
      <c r="D275" s="240"/>
      <c r="E275" s="241"/>
      <c r="F275" s="93">
        <v>1433.8</v>
      </c>
      <c r="H275" s="87"/>
    </row>
    <row r="276" spans="1:8" ht="18.75" x14ac:dyDescent="0.25">
      <c r="A276" s="268"/>
      <c r="B276" s="274"/>
      <c r="C276" s="239" t="s">
        <v>482</v>
      </c>
      <c r="D276" s="240"/>
      <c r="E276" s="241"/>
      <c r="F276" s="93">
        <f>906.1+142.2</f>
        <v>1048.3</v>
      </c>
      <c r="H276" s="87"/>
    </row>
    <row r="277" spans="1:8" ht="18.75" customHeight="1" x14ac:dyDescent="0.25">
      <c r="A277" s="268"/>
      <c r="B277" s="274"/>
      <c r="C277" s="240" t="s">
        <v>342</v>
      </c>
      <c r="D277" s="240"/>
      <c r="E277" s="241"/>
      <c r="F277" s="93">
        <v>-920.66974000000005</v>
      </c>
      <c r="H277" s="87"/>
    </row>
    <row r="278" spans="1:8" ht="18.75" customHeight="1" x14ac:dyDescent="0.25">
      <c r="A278" s="268"/>
      <c r="B278" s="274"/>
      <c r="C278" s="240" t="s">
        <v>343</v>
      </c>
      <c r="D278" s="240"/>
      <c r="E278" s="241"/>
      <c r="F278" s="93">
        <f>-880+4.1</f>
        <v>-875.9</v>
      </c>
      <c r="H278" s="87"/>
    </row>
    <row r="279" spans="1:8" ht="18.75" customHeight="1" x14ac:dyDescent="0.25">
      <c r="A279" s="268"/>
      <c r="B279" s="274"/>
      <c r="C279" s="240" t="s">
        <v>348</v>
      </c>
      <c r="D279" s="240"/>
      <c r="E279" s="241"/>
      <c r="F279" s="93">
        <f>-1143.83026-115.5</f>
        <v>-1259.33026</v>
      </c>
      <c r="H279" s="87"/>
    </row>
    <row r="280" spans="1:8" ht="18.75" customHeight="1" x14ac:dyDescent="0.25">
      <c r="A280" s="268"/>
      <c r="B280" s="274"/>
      <c r="C280" s="239" t="s">
        <v>448</v>
      </c>
      <c r="D280" s="240"/>
      <c r="E280" s="241"/>
      <c r="F280" s="93">
        <v>-40.1</v>
      </c>
      <c r="H280" s="87"/>
    </row>
    <row r="281" spans="1:8" ht="18.75" customHeight="1" x14ac:dyDescent="0.25">
      <c r="A281" s="268"/>
      <c r="B281" s="274"/>
      <c r="C281" s="239" t="s">
        <v>351</v>
      </c>
      <c r="D281" s="240"/>
      <c r="E281" s="241"/>
      <c r="F281" s="93">
        <f>200+109.3</f>
        <v>309.3</v>
      </c>
      <c r="H281" s="87"/>
    </row>
    <row r="282" spans="1:8" ht="18.75" customHeight="1" x14ac:dyDescent="0.25">
      <c r="A282" s="268"/>
      <c r="B282" s="274"/>
      <c r="C282" s="240" t="s">
        <v>489</v>
      </c>
      <c r="D282" s="240"/>
      <c r="E282" s="241"/>
      <c r="F282" s="93">
        <f>2160+373.8+1500</f>
        <v>4033.8</v>
      </c>
      <c r="G282" s="84"/>
      <c r="H282" s="87"/>
    </row>
    <row r="283" spans="1:8" ht="18.75" customHeight="1" x14ac:dyDescent="0.25">
      <c r="A283" s="268"/>
      <c r="B283" s="274"/>
      <c r="C283" s="240" t="s">
        <v>375</v>
      </c>
      <c r="D283" s="240"/>
      <c r="E283" s="241"/>
      <c r="F283" s="93">
        <v>23.4</v>
      </c>
      <c r="G283" s="84"/>
      <c r="H283" s="87"/>
    </row>
    <row r="284" spans="1:8" ht="18.75" customHeight="1" x14ac:dyDescent="0.25">
      <c r="A284" s="268"/>
      <c r="B284" s="274"/>
      <c r="C284" s="240" t="s">
        <v>413</v>
      </c>
      <c r="D284" s="240"/>
      <c r="E284" s="241"/>
      <c r="F284" s="93">
        <f>750.4+766.6</f>
        <v>1517</v>
      </c>
      <c r="G284" s="84">
        <f>SUM(F269:F285)</f>
        <v>-644.099999999999</v>
      </c>
      <c r="H284" s="87"/>
    </row>
    <row r="285" spans="1:8" ht="18.75" customHeight="1" x14ac:dyDescent="0.25">
      <c r="A285" s="268"/>
      <c r="B285" s="274"/>
      <c r="C285" s="240" t="s">
        <v>34</v>
      </c>
      <c r="D285" s="240"/>
      <c r="E285" s="241"/>
      <c r="F285" s="93">
        <v>-3282.6</v>
      </c>
      <c r="G285" s="84">
        <f>SUM(F270:F286)</f>
        <v>23.400000000001</v>
      </c>
      <c r="H285" s="87"/>
    </row>
    <row r="286" spans="1:8" ht="24" customHeight="1" x14ac:dyDescent="0.25">
      <c r="A286" s="130" t="s">
        <v>280</v>
      </c>
      <c r="B286" s="116">
        <v>0</v>
      </c>
      <c r="C286" s="240" t="s">
        <v>403</v>
      </c>
      <c r="D286" s="240"/>
      <c r="E286" s="241"/>
      <c r="F286" s="93">
        <v>667.5</v>
      </c>
      <c r="H286" s="87"/>
    </row>
    <row r="287" spans="1:8" ht="17.25" customHeight="1" x14ac:dyDescent="0.35">
      <c r="A287" s="94" t="s">
        <v>9</v>
      </c>
      <c r="B287" s="95">
        <f>SUM(B265:B286)</f>
        <v>24314.800000000003</v>
      </c>
      <c r="C287" s="266" t="s">
        <v>9</v>
      </c>
      <c r="D287" s="266"/>
      <c r="E287" s="266"/>
      <c r="F287" s="96">
        <f>SUM(F265:F286)</f>
        <v>24314.799639999997</v>
      </c>
      <c r="G287" s="89">
        <f>F287-B287</f>
        <v>-3.6000000545755029E-4</v>
      </c>
      <c r="H287" s="87"/>
    </row>
    <row r="288" spans="1:8" ht="21" customHeight="1" x14ac:dyDescent="0.3">
      <c r="A288" s="128"/>
      <c r="B288" s="128"/>
      <c r="C288" s="128"/>
      <c r="D288" s="128"/>
      <c r="E288" s="128"/>
      <c r="F288" s="128"/>
      <c r="H288" s="87"/>
    </row>
    <row r="289" spans="1:6" ht="19.5" customHeight="1" x14ac:dyDescent="0.3">
      <c r="A289" s="113"/>
      <c r="B289" s="85"/>
      <c r="C289" s="113"/>
      <c r="D289" s="113"/>
      <c r="E289" s="113"/>
      <c r="F289" s="86"/>
    </row>
    <row r="290" spans="1:6" ht="18.75" customHeight="1" x14ac:dyDescent="0.3">
      <c r="A290" s="273" t="s">
        <v>66</v>
      </c>
      <c r="B290" s="273"/>
      <c r="C290" s="273"/>
      <c r="D290" s="273"/>
      <c r="E290" s="259" t="s">
        <v>67</v>
      </c>
      <c r="F290" s="259"/>
    </row>
    <row r="291" spans="1:6" ht="20.25" customHeight="1" x14ac:dyDescent="0.35">
      <c r="A291" s="80"/>
      <c r="B291" s="81"/>
      <c r="C291" s="81"/>
      <c r="D291" s="82"/>
      <c r="E291" s="83"/>
      <c r="F291" s="82"/>
    </row>
    <row r="292" spans="1:6" ht="16.5" customHeight="1" x14ac:dyDescent="0.25">
      <c r="B292" s="84"/>
      <c r="E292" s="79" t="s">
        <v>245</v>
      </c>
    </row>
    <row r="293" spans="1:6" ht="19.5" customHeight="1" x14ac:dyDescent="0.25">
      <c r="F293" s="87"/>
    </row>
    <row r="294" spans="1:6" ht="24" customHeight="1" x14ac:dyDescent="0.25"/>
  </sheetData>
  <mergeCells count="113">
    <mergeCell ref="C284:E284"/>
    <mergeCell ref="A108:F108"/>
    <mergeCell ref="A240:A254"/>
    <mergeCell ref="A113:F113"/>
    <mergeCell ref="A116:F116"/>
    <mergeCell ref="A110:F110"/>
    <mergeCell ref="A147:A150"/>
    <mergeCell ref="A204:A217"/>
    <mergeCell ref="A120:A146"/>
    <mergeCell ref="A109:F109"/>
    <mergeCell ref="A111:F111"/>
    <mergeCell ref="A153:A163"/>
    <mergeCell ref="A114:F114"/>
    <mergeCell ref="C273:E273"/>
    <mergeCell ref="C274:E274"/>
    <mergeCell ref="C264:F264"/>
    <mergeCell ref="A112:F112"/>
    <mergeCell ref="A256:A257"/>
    <mergeCell ref="A255:F255"/>
    <mergeCell ref="A224:A239"/>
    <mergeCell ref="E290:F290"/>
    <mergeCell ref="B258:C258"/>
    <mergeCell ref="B119:C119"/>
    <mergeCell ref="A262:F262"/>
    <mergeCell ref="A264:B264"/>
    <mergeCell ref="C286:E286"/>
    <mergeCell ref="C287:E287"/>
    <mergeCell ref="A270:A285"/>
    <mergeCell ref="F265:F268"/>
    <mergeCell ref="C270:E270"/>
    <mergeCell ref="C281:E281"/>
    <mergeCell ref="C265:E268"/>
    <mergeCell ref="A290:D290"/>
    <mergeCell ref="C283:E283"/>
    <mergeCell ref="C275:E275"/>
    <mergeCell ref="C276:E276"/>
    <mergeCell ref="C280:E280"/>
    <mergeCell ref="C279:E279"/>
    <mergeCell ref="C277:E277"/>
    <mergeCell ref="C278:E278"/>
    <mergeCell ref="B270:B285"/>
    <mergeCell ref="C285:E285"/>
    <mergeCell ref="C282:E282"/>
    <mergeCell ref="A260:F260"/>
    <mergeCell ref="A28:F28"/>
    <mergeCell ref="A29:F29"/>
    <mergeCell ref="A30:F30"/>
    <mergeCell ref="A37:F37"/>
    <mergeCell ref="A33:F33"/>
    <mergeCell ref="A34:F34"/>
    <mergeCell ref="A16:F16"/>
    <mergeCell ref="A19:C19"/>
    <mergeCell ref="A35:F35"/>
    <mergeCell ref="A17:F17"/>
    <mergeCell ref="A21:F21"/>
    <mergeCell ref="A22:F22"/>
    <mergeCell ref="A23:C23"/>
    <mergeCell ref="A25:F25"/>
    <mergeCell ref="A31:F31"/>
    <mergeCell ref="A26:F26"/>
    <mergeCell ref="A18:D18"/>
    <mergeCell ref="A1:F1"/>
    <mergeCell ref="A2:F2"/>
    <mergeCell ref="A3:F3"/>
    <mergeCell ref="A4:F4"/>
    <mergeCell ref="A5:D5"/>
    <mergeCell ref="A6:C6"/>
    <mergeCell ref="A7:E7"/>
    <mergeCell ref="A10:F10"/>
    <mergeCell ref="B12:C12"/>
    <mergeCell ref="A8:F8"/>
    <mergeCell ref="A9:F9"/>
    <mergeCell ref="B13:C13"/>
    <mergeCell ref="B11:C11"/>
    <mergeCell ref="C272:E272"/>
    <mergeCell ref="A151:A152"/>
    <mergeCell ref="A164:A203"/>
    <mergeCell ref="A101:F101"/>
    <mergeCell ref="B124:C124"/>
    <mergeCell ref="A118:F118"/>
    <mergeCell ref="A100:F100"/>
    <mergeCell ref="A105:F105"/>
    <mergeCell ref="A106:F106"/>
    <mergeCell ref="A107:F107"/>
    <mergeCell ref="A117:F117"/>
    <mergeCell ref="C271:E271"/>
    <mergeCell ref="A92:F92"/>
    <mergeCell ref="A218:A223"/>
    <mergeCell ref="C269:E269"/>
    <mergeCell ref="A99:F99"/>
    <mergeCell ref="A102:F102"/>
    <mergeCell ref="A98:F98"/>
    <mergeCell ref="B14:C14"/>
    <mergeCell ref="A32:F32"/>
    <mergeCell ref="A38:F38"/>
    <mergeCell ref="A36:F36"/>
    <mergeCell ref="A104:F104"/>
    <mergeCell ref="A97:F97"/>
    <mergeCell ref="A90:A91"/>
    <mergeCell ref="A93:A94"/>
    <mergeCell ref="A103:F103"/>
    <mergeCell ref="A42:F42"/>
    <mergeCell ref="A40:F40"/>
    <mergeCell ref="A41:F41"/>
    <mergeCell ref="A39:F39"/>
    <mergeCell ref="B43:C43"/>
    <mergeCell ref="A44:A48"/>
    <mergeCell ref="A85:F85"/>
    <mergeCell ref="A86:A89"/>
    <mergeCell ref="A50:A61"/>
    <mergeCell ref="A62:A83"/>
    <mergeCell ref="A96:F96"/>
    <mergeCell ref="B95:C95"/>
  </mergeCells>
  <pageMargins left="0.70866141732283472" right="0.11811023622047245" top="0.55118110236220474" bottom="0.15748031496062992" header="0.31496062992125984" footer="0.31496062992125984"/>
  <pageSetup paperSize="9" scale="72" fitToHeight="8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A11" sqref="A11"/>
    </sheetView>
  </sheetViews>
  <sheetFormatPr defaultRowHeight="12.75" x14ac:dyDescent="0.2"/>
  <cols>
    <col min="1" max="1" width="69.85546875" customWidth="1"/>
  </cols>
  <sheetData>
    <row r="1" spans="1:8" ht="18.75" x14ac:dyDescent="0.3">
      <c r="A1" s="251" t="s">
        <v>0</v>
      </c>
      <c r="B1" s="251"/>
      <c r="C1" s="251"/>
      <c r="D1" s="251"/>
      <c r="E1" s="251"/>
      <c r="F1" s="251"/>
    </row>
    <row r="2" spans="1:8" ht="81.75" customHeight="1" x14ac:dyDescent="0.2">
      <c r="A2" s="252" t="s">
        <v>247</v>
      </c>
      <c r="B2" s="252"/>
      <c r="C2" s="252"/>
      <c r="D2" s="252"/>
      <c r="E2" s="252"/>
      <c r="F2" s="252"/>
    </row>
    <row r="3" spans="1:8" ht="21.75" customHeight="1" x14ac:dyDescent="0.3">
      <c r="A3" s="280" t="s">
        <v>266</v>
      </c>
      <c r="B3" s="280"/>
      <c r="C3" s="280"/>
      <c r="D3" s="280"/>
      <c r="E3" s="280"/>
      <c r="F3" s="280"/>
    </row>
    <row r="4" spans="1:8" ht="18.75" x14ac:dyDescent="0.2">
      <c r="A4" s="253" t="s">
        <v>264</v>
      </c>
      <c r="B4" s="253"/>
      <c r="C4" s="253"/>
      <c r="D4" s="253"/>
      <c r="E4" s="253"/>
      <c r="F4" s="253"/>
    </row>
    <row r="5" spans="1:8" s="79" customFormat="1" ht="49.5" customHeight="1" x14ac:dyDescent="0.25">
      <c r="A5" s="281" t="s">
        <v>267</v>
      </c>
      <c r="B5" s="281"/>
      <c r="C5" s="281"/>
      <c r="D5" s="281"/>
      <c r="E5" s="281"/>
      <c r="F5" s="281"/>
    </row>
    <row r="6" spans="1:8" s="79" customFormat="1" ht="22.9" customHeight="1" x14ac:dyDescent="0.3">
      <c r="A6" s="279" t="s">
        <v>268</v>
      </c>
      <c r="B6" s="279"/>
      <c r="C6" s="279"/>
      <c r="D6" s="279"/>
      <c r="E6" s="110"/>
      <c r="F6" s="110"/>
    </row>
    <row r="7" spans="1:8" s="79" customFormat="1" ht="17.25" customHeight="1" x14ac:dyDescent="0.3">
      <c r="A7" s="282" t="s">
        <v>269</v>
      </c>
      <c r="B7" s="282"/>
      <c r="C7" s="282"/>
      <c r="D7" s="282"/>
      <c r="E7" s="282"/>
      <c r="F7" s="282"/>
      <c r="H7" s="87"/>
    </row>
    <row r="8" spans="1:8" s="79" customFormat="1" ht="22.5" customHeight="1" x14ac:dyDescent="0.3">
      <c r="A8" s="235" t="s">
        <v>271</v>
      </c>
      <c r="B8" s="235"/>
      <c r="C8" s="235"/>
      <c r="D8" s="235"/>
      <c r="E8" s="235"/>
      <c r="F8" s="235"/>
      <c r="H8" s="87"/>
    </row>
    <row r="9" spans="1:8" s="79" customFormat="1" ht="18" customHeight="1" x14ac:dyDescent="0.3">
      <c r="A9" s="231" t="s">
        <v>244</v>
      </c>
      <c r="B9" s="231"/>
      <c r="C9" s="231"/>
      <c r="D9" s="231"/>
      <c r="E9" s="231"/>
      <c r="F9" s="231"/>
      <c r="H9" s="87"/>
    </row>
    <row r="10" spans="1:8" ht="22.5" customHeight="1" x14ac:dyDescent="0.2">
      <c r="A10" s="111" t="s">
        <v>272</v>
      </c>
    </row>
    <row r="11" spans="1:8" s="112" customFormat="1" ht="18" customHeight="1" x14ac:dyDescent="0.3">
      <c r="A11" s="112" t="s">
        <v>273</v>
      </c>
    </row>
    <row r="12" spans="1:8" s="79" customFormat="1" ht="24.75" customHeight="1" x14ac:dyDescent="0.3">
      <c r="A12" s="109" t="s">
        <v>31</v>
      </c>
      <c r="B12" s="108"/>
      <c r="C12" s="108"/>
      <c r="D12" s="108"/>
      <c r="E12" s="108"/>
      <c r="F12" s="108"/>
      <c r="H12" s="87"/>
    </row>
    <row r="13" spans="1:8" s="79" customFormat="1" ht="18.75" customHeight="1" x14ac:dyDescent="0.3">
      <c r="A13" s="230" t="s">
        <v>274</v>
      </c>
      <c r="B13" s="230"/>
      <c r="C13" s="230"/>
      <c r="D13" s="230"/>
      <c r="E13" s="230"/>
      <c r="F13" s="230"/>
      <c r="H13" s="87"/>
    </row>
    <row r="14" spans="1:8" s="112" customFormat="1" ht="40.5" customHeight="1" x14ac:dyDescent="0.3">
      <c r="A14" s="283" t="s">
        <v>275</v>
      </c>
      <c r="B14" s="283"/>
      <c r="C14" s="283"/>
      <c r="D14" s="283"/>
      <c r="E14" s="283"/>
      <c r="F14" s="283"/>
    </row>
    <row r="15" spans="1:8" s="104" customFormat="1" ht="108.75" customHeight="1" x14ac:dyDescent="0.3">
      <c r="A15" s="231" t="s">
        <v>276</v>
      </c>
      <c r="B15" s="231"/>
      <c r="C15" s="231"/>
      <c r="D15" s="231"/>
      <c r="E15" s="231"/>
      <c r="F15" s="231"/>
      <c r="G15" s="107"/>
      <c r="H15" s="105"/>
    </row>
    <row r="17" spans="1:8" s="79" customFormat="1" ht="18.75" customHeight="1" x14ac:dyDescent="0.3">
      <c r="A17" s="273" t="s">
        <v>66</v>
      </c>
      <c r="B17" s="273"/>
      <c r="C17" s="273"/>
      <c r="D17" s="273"/>
      <c r="E17" s="259" t="s">
        <v>67</v>
      </c>
      <c r="F17" s="259"/>
      <c r="H17" s="88"/>
    </row>
  </sheetData>
  <mergeCells count="14">
    <mergeCell ref="A17:D17"/>
    <mergeCell ref="E17:F17"/>
    <mergeCell ref="A7:F7"/>
    <mergeCell ref="A8:F8"/>
    <mergeCell ref="A9:F9"/>
    <mergeCell ref="A13:F13"/>
    <mergeCell ref="A15:F15"/>
    <mergeCell ref="A14:F14"/>
    <mergeCell ref="A6:D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август</vt:lpstr>
      <vt:lpstr>ноябрь</vt:lpstr>
      <vt:lpstr>Лист1</vt:lpstr>
      <vt:lpstr>август!Область_печати</vt:lpstr>
      <vt:lpstr>Лист1!Область_печати</vt:lpstr>
      <vt:lpstr>ноябрь!Область_печати</vt:lpstr>
    </vt:vector>
  </TitlesOfParts>
  <Company>Dnsoft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Tatyana Orlova</cp:lastModifiedBy>
  <cp:lastPrinted>2019-11-18T02:26:16Z</cp:lastPrinted>
  <dcterms:created xsi:type="dcterms:W3CDTF">2009-01-26T06:44:36Z</dcterms:created>
  <dcterms:modified xsi:type="dcterms:W3CDTF">2019-12-02T06:16:33Z</dcterms:modified>
</cp:coreProperties>
</file>