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G:\Общие\РЕШЕНИЯ ГОРСОВЕТА НАРОДНЫХ ДЕПУТАТОВ\Изменения 2019г\Изменения декабрь 2019\Для КСП и СНД - проект решения изм. в б-т 2019-2021гг. (декабрь 2019г.)\"/>
    </mc:Choice>
  </mc:AlternateContent>
  <bookViews>
    <workbookView xWindow="-390" yWindow="1095" windowWidth="9900" windowHeight="8130" firstSheet="1" activeTab="1"/>
  </bookViews>
  <sheets>
    <sheet name="август" sheetId="18" state="hidden" r:id="rId1"/>
    <sheet name="декабрь" sheetId="30" r:id="rId2"/>
    <sheet name="Лист1" sheetId="31" r:id="rId3"/>
  </sheets>
  <definedNames>
    <definedName name="_xlnm.Print_Area" localSheetId="0">август!$A$1:$F$226</definedName>
    <definedName name="_xlnm.Print_Area" localSheetId="1">декабрь!$A$1:$F$232</definedName>
    <definedName name="_xlnm.Print_Area" localSheetId="2">Лист1!$A$1:$F$17</definedName>
  </definedNames>
  <calcPr calcId="152511"/>
</workbook>
</file>

<file path=xl/calcChain.xml><?xml version="1.0" encoding="utf-8"?>
<calcChain xmlns="http://schemas.openxmlformats.org/spreadsheetml/2006/main">
  <c r="E189" i="30" l="1"/>
  <c r="F227" i="30"/>
  <c r="F228" i="30"/>
  <c r="F225" i="30" l="1"/>
  <c r="E203" i="30"/>
  <c r="E205" i="30"/>
  <c r="E204" i="30"/>
  <c r="F224" i="30"/>
  <c r="E200" i="30" l="1"/>
  <c r="E199" i="30"/>
  <c r="F198" i="30"/>
  <c r="F196" i="30"/>
  <c r="F201" i="30" l="1"/>
  <c r="F211" i="30"/>
  <c r="E210" i="30"/>
  <c r="F207" i="30"/>
  <c r="F205" i="30"/>
  <c r="F206" i="30"/>
  <c r="E120" i="30" l="1"/>
  <c r="H62" i="30" l="1"/>
  <c r="B224" i="30"/>
  <c r="F116" i="30" l="1"/>
  <c r="F125" i="30"/>
  <c r="F124" i="30" l="1"/>
  <c r="F111" i="30"/>
  <c r="F114" i="30"/>
  <c r="F110" i="30"/>
  <c r="F107" i="30"/>
  <c r="F106" i="30"/>
  <c r="F123" i="30"/>
  <c r="F122" i="30"/>
  <c r="E38" i="30" l="1"/>
  <c r="E39" i="30"/>
  <c r="E40" i="30"/>
  <c r="E41" i="30"/>
  <c r="E42" i="30"/>
  <c r="E43" i="30"/>
  <c r="E44" i="30"/>
  <c r="E45" i="30"/>
  <c r="E46" i="30"/>
  <c r="E47" i="30"/>
  <c r="E48" i="30"/>
  <c r="E49" i="30"/>
  <c r="E50" i="30"/>
  <c r="E51" i="30"/>
  <c r="E52" i="30"/>
  <c r="E53" i="30"/>
  <c r="E54" i="30"/>
  <c r="E28" i="30"/>
  <c r="E29" i="30"/>
  <c r="E30" i="30"/>
  <c r="E31" i="30"/>
  <c r="E32" i="30"/>
  <c r="E33" i="30"/>
  <c r="E34" i="30"/>
  <c r="E35" i="30"/>
  <c r="E36" i="30"/>
  <c r="E37" i="30"/>
  <c r="E55" i="30"/>
  <c r="E56" i="30"/>
  <c r="E57" i="30"/>
  <c r="E16" i="30"/>
  <c r="E17" i="30"/>
  <c r="E18" i="30"/>
  <c r="E19" i="30"/>
  <c r="E20" i="30"/>
  <c r="E21" i="30"/>
  <c r="E22" i="30"/>
  <c r="E23" i="30"/>
  <c r="E24" i="30"/>
  <c r="E25" i="30"/>
  <c r="E26" i="30"/>
  <c r="E27" i="30"/>
  <c r="E14" i="30"/>
  <c r="E15" i="30"/>
  <c r="E13" i="30" l="1"/>
  <c r="E12" i="30"/>
  <c r="E58" i="30" l="1"/>
  <c r="B220" i="30"/>
  <c r="E171" i="30" l="1"/>
  <c r="E160" i="30"/>
  <c r="E202" i="30" l="1"/>
  <c r="E168" i="30" l="1"/>
  <c r="E170" i="30"/>
  <c r="E165" i="30"/>
  <c r="E164" i="30"/>
  <c r="E163" i="30"/>
  <c r="E103" i="30" l="1"/>
  <c r="E102" i="30"/>
  <c r="E130" i="30" l="1"/>
  <c r="F188" i="30"/>
  <c r="F127" i="30" l="1"/>
  <c r="D204" i="30" s="1"/>
  <c r="F204" i="30" s="1"/>
  <c r="F128" i="30"/>
  <c r="F156" i="30" l="1"/>
  <c r="F172" i="30" l="1"/>
  <c r="F164" i="30"/>
  <c r="F177" i="30" l="1"/>
  <c r="F179" i="30" l="1"/>
  <c r="F184" i="30" l="1"/>
  <c r="B225" i="30" l="1"/>
  <c r="F101" i="30" l="1"/>
  <c r="F202" i="30" l="1"/>
  <c r="F208" i="30"/>
  <c r="E67" i="30" l="1"/>
  <c r="G226" i="30" l="1"/>
  <c r="F212" i="30" l="1"/>
  <c r="F129" i="30"/>
  <c r="F174" i="30" l="1"/>
  <c r="F175" i="30" l="1"/>
  <c r="F193" i="30" l="1"/>
  <c r="F192" i="30" l="1"/>
  <c r="F191" i="30"/>
  <c r="E213" i="30" l="1"/>
  <c r="F187" i="30" l="1"/>
  <c r="F186" i="30"/>
  <c r="F155" i="30"/>
  <c r="F154" i="30"/>
  <c r="F183" i="30" l="1"/>
  <c r="F181" i="30"/>
  <c r="F190" i="30" l="1"/>
  <c r="F189" i="30"/>
  <c r="F153" i="30"/>
  <c r="F152" i="30"/>
  <c r="F182" i="30"/>
  <c r="F180" i="30"/>
  <c r="F121" i="30" l="1"/>
  <c r="D200" i="30" s="1"/>
  <c r="F120" i="30"/>
  <c r="D199" i="30" s="1"/>
  <c r="F108" i="30"/>
  <c r="D195" i="30" s="1"/>
  <c r="F195" i="30" s="1"/>
  <c r="F119" i="30"/>
  <c r="D194" i="30" s="1"/>
  <c r="F194" i="30" s="1"/>
  <c r="F118" i="30"/>
  <c r="F112" i="30"/>
  <c r="F109" i="30"/>
  <c r="F105" i="30"/>
  <c r="F104" i="30"/>
  <c r="F99" i="30" l="1"/>
  <c r="F117" i="30"/>
  <c r="F115" i="30"/>
  <c r="D197" i="30" s="1"/>
  <c r="F197" i="30" s="1"/>
  <c r="F113" i="30" l="1"/>
  <c r="F126" i="30"/>
  <c r="F200" i="30"/>
  <c r="F199" i="30"/>
  <c r="F100" i="30"/>
  <c r="F98" i="30"/>
  <c r="F90" i="30" l="1"/>
  <c r="F89" i="30"/>
  <c r="D158" i="30" l="1"/>
  <c r="F158" i="30" s="1"/>
  <c r="D160" i="30"/>
  <c r="F91" i="30" l="1"/>
  <c r="D171" i="30" s="1"/>
  <c r="F92" i="30"/>
  <c r="F93" i="30"/>
  <c r="F94" i="30"/>
  <c r="F95" i="30"/>
  <c r="D166" i="30" s="1"/>
  <c r="F166" i="30" s="1"/>
  <c r="F96" i="30"/>
  <c r="D173" i="30" l="1"/>
  <c r="F97" i="30"/>
  <c r="F102" i="30"/>
  <c r="F169" i="30" l="1"/>
  <c r="F168" i="30"/>
  <c r="F88" i="30" l="1"/>
  <c r="F103" i="30" l="1"/>
  <c r="F176" i="30" l="1"/>
  <c r="F159" i="30"/>
  <c r="F185" i="30" l="1"/>
  <c r="F161" i="30" l="1"/>
  <c r="F165" i="30" l="1"/>
  <c r="F162" i="30"/>
  <c r="F170" i="30"/>
  <c r="F209" i="30"/>
  <c r="B223" i="30" l="1"/>
  <c r="F157" i="30" l="1"/>
  <c r="F167" i="30"/>
  <c r="B222" i="30" l="1"/>
  <c r="B221" i="30"/>
  <c r="F203" i="30" l="1"/>
  <c r="F220" i="30" l="1"/>
  <c r="G221" i="30" s="1"/>
  <c r="F229" i="30" l="1"/>
  <c r="F163" i="30" l="1"/>
  <c r="F171" i="30"/>
  <c r="F210" i="30" l="1"/>
  <c r="F173" i="30" l="1"/>
  <c r="F160" i="30" l="1"/>
  <c r="B229" i="30" l="1"/>
  <c r="G229" i="30" l="1"/>
  <c r="F178" i="30"/>
  <c r="E11" i="18" l="1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F47" i="18"/>
  <c r="F48" i="18"/>
  <c r="F49" i="18"/>
  <c r="F50" i="18"/>
  <c r="F51" i="18"/>
  <c r="F52" i="18"/>
  <c r="E53" i="18"/>
  <c r="F53" i="18" s="1"/>
  <c r="E54" i="18"/>
  <c r="F54" i="18" s="1"/>
  <c r="F55" i="18"/>
  <c r="F56" i="18"/>
  <c r="F57" i="18"/>
  <c r="F58" i="18"/>
  <c r="F59" i="18"/>
  <c r="F60" i="18"/>
  <c r="G61" i="18"/>
  <c r="E121" i="18"/>
  <c r="E122" i="18"/>
  <c r="F122" i="18" s="1"/>
  <c r="E123" i="18"/>
  <c r="F123" i="18" s="1"/>
  <c r="E124" i="18"/>
  <c r="F124" i="18" s="1"/>
  <c r="E125" i="18"/>
  <c r="F125" i="18" s="1"/>
  <c r="F126" i="18"/>
  <c r="F127" i="18"/>
  <c r="F128" i="18"/>
  <c r="F129" i="18"/>
  <c r="F130" i="18"/>
  <c r="E131" i="18"/>
  <c r="F131" i="18" s="1"/>
  <c r="F132" i="18"/>
  <c r="F133" i="18"/>
  <c r="F134" i="18"/>
  <c r="F135" i="18"/>
  <c r="F136" i="18"/>
  <c r="F137" i="18"/>
  <c r="E138" i="18"/>
  <c r="F138" i="18" s="1"/>
  <c r="E139" i="18"/>
  <c r="F139" i="18" s="1"/>
  <c r="F140" i="18"/>
  <c r="F141" i="18"/>
  <c r="F142" i="18"/>
  <c r="F143" i="18"/>
  <c r="E144" i="18"/>
  <c r="F144" i="18" s="1"/>
  <c r="F145" i="18"/>
  <c r="E146" i="18"/>
  <c r="F146" i="18" s="1"/>
  <c r="F147" i="18"/>
  <c r="F148" i="18"/>
  <c r="F149" i="18"/>
  <c r="F150" i="18"/>
  <c r="F151" i="18"/>
  <c r="F152" i="18"/>
  <c r="F153" i="18"/>
  <c r="E154" i="18"/>
  <c r="F154" i="18" s="1"/>
  <c r="F155" i="18"/>
  <c r="F156" i="18"/>
  <c r="E157" i="18"/>
  <c r="F157" i="18" s="1"/>
  <c r="F158" i="18"/>
  <c r="E159" i="18"/>
  <c r="F159" i="18" s="1"/>
  <c r="F160" i="18"/>
  <c r="E161" i="18"/>
  <c r="F161" i="18" s="1"/>
  <c r="F162" i="18"/>
  <c r="F163" i="18"/>
  <c r="E164" i="18"/>
  <c r="F164" i="18" s="1"/>
  <c r="F165" i="18"/>
  <c r="F166" i="18"/>
  <c r="F167" i="18"/>
  <c r="F168" i="18"/>
  <c r="E169" i="18"/>
  <c r="F169" i="18" s="1"/>
  <c r="F170" i="18"/>
  <c r="E171" i="18"/>
  <c r="F171" i="18" s="1"/>
  <c r="E172" i="18"/>
  <c r="F172" i="18" s="1"/>
  <c r="E173" i="18"/>
  <c r="F173" i="18" s="1"/>
  <c r="F174" i="18"/>
  <c r="E175" i="18"/>
  <c r="F175" i="18" s="1"/>
  <c r="F176" i="18"/>
  <c r="F177" i="18"/>
  <c r="F178" i="18"/>
  <c r="F179" i="18"/>
  <c r="F180" i="18"/>
  <c r="F181" i="18"/>
  <c r="F182" i="18"/>
  <c r="F183" i="18"/>
  <c r="F184" i="18"/>
  <c r="F185" i="18"/>
  <c r="F186" i="18"/>
  <c r="F187" i="18"/>
  <c r="F188" i="18"/>
  <c r="F189" i="18"/>
  <c r="F190" i="18"/>
  <c r="F191" i="18"/>
  <c r="F192" i="18"/>
  <c r="F193" i="18"/>
  <c r="F194" i="18"/>
  <c r="G195" i="18"/>
  <c r="I195" i="18"/>
  <c r="B202" i="18"/>
  <c r="B224" i="18" s="1"/>
  <c r="G203" i="18"/>
  <c r="F205" i="18"/>
  <c r="F212" i="18"/>
  <c r="F121" i="18"/>
  <c r="E25" i="18" l="1"/>
  <c r="E195" i="18"/>
  <c r="H195" i="18" s="1"/>
  <c r="J195" i="18" s="1"/>
  <c r="E61" i="18"/>
  <c r="F201" i="18" s="1"/>
  <c r="F224" i="18" s="1"/>
  <c r="F225" i="18" s="1"/>
  <c r="H61" i="18" l="1"/>
  <c r="M224" i="18"/>
  <c r="H203" i="18"/>
</calcChain>
</file>

<file path=xl/sharedStrings.xml><?xml version="1.0" encoding="utf-8"?>
<sst xmlns="http://schemas.openxmlformats.org/spreadsheetml/2006/main" count="588" uniqueCount="437">
  <si>
    <t>ПОЯСНИТЕЛЬНАЯ ЗАПИСКА</t>
  </si>
  <si>
    <t>Наименование</t>
  </si>
  <si>
    <t>БК</t>
  </si>
  <si>
    <t xml:space="preserve">Было </t>
  </si>
  <si>
    <t>изменения</t>
  </si>
  <si>
    <t>Стало</t>
  </si>
  <si>
    <t>ИТОГО</t>
  </si>
  <si>
    <t>тыс.руб.</t>
  </si>
  <si>
    <t>Управление образования</t>
  </si>
  <si>
    <t>Итого</t>
  </si>
  <si>
    <t>Доходы</t>
  </si>
  <si>
    <t>Расходы</t>
  </si>
  <si>
    <t>Субсидии</t>
  </si>
  <si>
    <t>Субвенции</t>
  </si>
  <si>
    <t>Управление культуры</t>
  </si>
  <si>
    <t>Наименование доходов</t>
  </si>
  <si>
    <t>ожидаемое исполнение за год</t>
  </si>
  <si>
    <t>+,- к плану года</t>
  </si>
  <si>
    <t>План уточненный - основание</t>
  </si>
  <si>
    <t>Плата за выбросы загрязняющих веществ в атмосферный воздух стационарными объектами</t>
  </si>
  <si>
    <t xml:space="preserve">      </t>
  </si>
  <si>
    <t>тыс. руб</t>
  </si>
  <si>
    <t>Налоговые и неналоговые доходы</t>
  </si>
  <si>
    <t>Плата за размещение отходов производства и потребления</t>
  </si>
  <si>
    <t>Денежные взыскания (штрафы) за нарушение законодательства Российской Федерации об административных правонарушениях, предусмотренных статьей 20.25 Кодекса  Российской Федерации об административных правонарушениях</t>
  </si>
  <si>
    <t>УСЗН</t>
  </si>
  <si>
    <t>УЖКХ</t>
  </si>
  <si>
    <t>Субсидии, субвенции, межбюджетные трансферты</t>
  </si>
  <si>
    <t>Иные межбюджетные трансферты</t>
  </si>
  <si>
    <r>
      <rPr>
        <b/>
        <sz val="13"/>
        <rFont val="Times New Roman"/>
        <family val="1"/>
        <charset val="204"/>
      </rPr>
      <t>2.2.</t>
    </r>
    <r>
      <rPr>
        <sz val="13"/>
        <rFont val="Times New Roman"/>
        <family val="1"/>
        <charset val="204"/>
      </rPr>
      <t xml:space="preserve"> По ходатайствам бюджетных учреждений:</t>
    </r>
  </si>
  <si>
    <t>Администрация</t>
  </si>
  <si>
    <t>Увеличиваются ассигнования:</t>
  </si>
  <si>
    <t>Переносятся ассигнования с одного вида расходов на другой: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</si>
  <si>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</si>
  <si>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>КУМИ</t>
  </si>
  <si>
    <t>Переносятся ассигнования с одной целевой статьи на другую:</t>
  </si>
  <si>
    <t>Финансовое управление</t>
  </si>
  <si>
    <r>
      <rPr>
        <u/>
        <sz val="13"/>
        <rFont val="Times New Roman"/>
        <family val="1"/>
        <charset val="204"/>
      </rPr>
      <t>Уменьшаются ассигнования:</t>
    </r>
    <r>
      <rPr>
        <sz val="13"/>
        <rFont val="Times New Roman"/>
        <family val="1"/>
        <charset val="204"/>
      </rPr>
      <t/>
    </r>
  </si>
  <si>
    <t>По Администрации:</t>
  </si>
  <si>
    <t>911 0702 051 00 71820 200</t>
  </si>
  <si>
    <t>913 0801 060 00 11400 600</t>
  </si>
  <si>
    <t>913 0804 060 00 14520 100</t>
  </si>
  <si>
    <t>913 0801 060 00 12410 600</t>
  </si>
  <si>
    <t>911 0702 051 00 11210 600</t>
  </si>
  <si>
    <t>900 0104 011 00 11020 100</t>
  </si>
  <si>
    <t>900 0104 011 00 11020 200</t>
  </si>
  <si>
    <t>План на 2016 год</t>
  </si>
  <si>
    <t>Государственная пошлина за выдачу и обмен паспорта гражданина Российской Федерации</t>
  </si>
  <si>
    <t>Государственная пошлина за гос.регестрацию прав,ограничений прав на недвижимое имущество и сделок сним</t>
  </si>
  <si>
    <t>Денежные взыскания (штрафы) 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</si>
  <si>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900 0102 011 00 11010 100</t>
  </si>
  <si>
    <t>915 1003 086 00 52200 300</t>
  </si>
  <si>
    <t>911 0709 051 00 17010 600</t>
  </si>
  <si>
    <t>913 0801 060 00 13420 600</t>
  </si>
  <si>
    <t>913 0702 051 00 11230 600</t>
  </si>
  <si>
    <t>919 0502 103 00 11200 800</t>
  </si>
  <si>
    <t>900 0501 044 00 11200 200</t>
  </si>
  <si>
    <t>900 0113 014 00 11400 600</t>
  </si>
  <si>
    <t>900 0901 083 00 14900 600</t>
  </si>
  <si>
    <t>915 1006 081 00 11400 300</t>
  </si>
  <si>
    <t>915 1006 081 00 11400 200</t>
  </si>
  <si>
    <t>900 0104 011 00 11020 800</t>
  </si>
  <si>
    <t>900 1006 015 00 15010 200</t>
  </si>
  <si>
    <t>900 1006 015 00 15010 300</t>
  </si>
  <si>
    <t>900 0113 130 00 11170 600</t>
  </si>
  <si>
    <t>919 0409 111 00 11120 600</t>
  </si>
  <si>
    <t>Начальник финансового управления г. Анжеро-Судженска-</t>
  </si>
  <si>
    <t>Е.Н. Зачиняева</t>
  </si>
  <si>
    <t>900 0501 043 00 S9602 400</t>
  </si>
  <si>
    <t>911 0702 051 00 71930 200</t>
  </si>
  <si>
    <t>По Управлению образования:</t>
  </si>
  <si>
    <t>855 0111 015 00  13070 800</t>
  </si>
  <si>
    <t>По УСЗН:</t>
  </si>
  <si>
    <t>913 0804 060 00 14040 100</t>
  </si>
  <si>
    <t>913 0804 060 00 14520 800</t>
  </si>
  <si>
    <t>919 0502 101 00 12300 400</t>
  </si>
  <si>
    <t>Единый сельскохозяйственный налог</t>
  </si>
  <si>
    <t>Плата за выбросы загрязняющих веществ в атмосферный воздух передвижными объектами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</si>
  <si>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</si>
  <si>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к проекту решения  «О внесении изменений в решение  Совета народных депутатов  Анжеро-Судженского городского округа от 24.12.2015  № 392 «О  бюджете  муниципального образования «Анжеро-Судженский городской округ» на 2016 год »</t>
  </si>
  <si>
    <t>По Администрации города:</t>
  </si>
  <si>
    <t xml:space="preserve"> - за счет дополнительно полученных доходов:</t>
  </si>
  <si>
    <t>900 0104 011 00 11030 100</t>
  </si>
  <si>
    <t>900 0113 015 00 94040 300</t>
  </si>
  <si>
    <t>Прочие безвозмездные поступления</t>
  </si>
  <si>
    <t>Уменьшаются ассигнования:</t>
  </si>
  <si>
    <t xml:space="preserve">Администрации города: </t>
  </si>
  <si>
    <t xml:space="preserve"> - за счет финансовой помощи:</t>
  </si>
  <si>
    <t>Администрация  почетные граждане 100%</t>
  </si>
  <si>
    <t>Техприсоединение теплотрассы Вост.района</t>
  </si>
  <si>
    <r>
      <rPr>
        <b/>
        <sz val="13"/>
        <rFont val="Times New Roman"/>
        <family val="1"/>
        <charset val="204"/>
      </rPr>
      <t>1</t>
    </r>
    <r>
      <rPr>
        <sz val="13"/>
        <rFont val="Times New Roman"/>
        <family val="1"/>
        <charset val="204"/>
      </rPr>
      <t>. Изменения по доходам вносятся:</t>
    </r>
  </si>
  <si>
    <r>
      <rPr>
        <b/>
        <sz val="13"/>
        <rFont val="Times New Roman"/>
        <family val="1"/>
        <charset val="204"/>
      </rPr>
      <t>1.2</t>
    </r>
    <r>
      <rPr>
        <sz val="13"/>
        <rFont val="Times New Roman"/>
        <family val="1"/>
        <charset val="204"/>
      </rPr>
      <t>. Вносятся изменения в план по доходам налоговых и  неналоговых платежей:</t>
    </r>
  </si>
  <si>
    <t>900 0309 031 00 11000 200</t>
  </si>
  <si>
    <t>919 0309 031 00 11000 600</t>
  </si>
  <si>
    <t>919 0502 103 00 13500 800</t>
  </si>
  <si>
    <t>900 1003 072 00 73221 300</t>
  </si>
  <si>
    <t>915 1003 086 00 52200 200</t>
  </si>
  <si>
    <t>919 0409 112 00 11110 600</t>
  </si>
  <si>
    <t>900 0309 031 00 13000 200</t>
  </si>
  <si>
    <t>919 0505 104 00 11040 200</t>
  </si>
  <si>
    <t>915 1002 085 00 70170 800</t>
  </si>
  <si>
    <t>915 1002 085 00 70170 200</t>
  </si>
  <si>
    <t>915 1003 086 00 70050 300</t>
  </si>
  <si>
    <t>911 1003 086 00 70050 600</t>
  </si>
  <si>
    <t>915 1003 086 00 80100 300</t>
  </si>
  <si>
    <t>915 1004 096 00 52700 300</t>
  </si>
  <si>
    <t>915 1004 086 00 53800 300</t>
  </si>
  <si>
    <t>915 0707 052 00 70490 100</t>
  </si>
  <si>
    <t xml:space="preserve"> - на ежемесячное обеспечение детей, страдающих онкологическими заболеваниями, денежной выплатой на 11,1т.р.</t>
  </si>
  <si>
    <t>КФКиС</t>
  </si>
  <si>
    <t>904 0709 051 00 15520 100</t>
  </si>
  <si>
    <t>904 0709 051 00 15520 200</t>
  </si>
  <si>
    <t>904 0709 051 00 15520 600</t>
  </si>
  <si>
    <t xml:space="preserve"> - на реализацию мер в области молодежной политики в сумме 33,8т.р. (зарплата молодежным трудовым отрядам);
 - на обновление компьюьерного оборудования аппарату УСЗН, в соответствии с письмом Департамента социальной защиты населения от 17.05.2016г. № 12-2726, на сумму 100,0 т.р.</t>
  </si>
  <si>
    <t>915 1006 084 00 70280 200</t>
  </si>
  <si>
    <t>915 1002 085 00 11050 200</t>
  </si>
  <si>
    <t>915 1002 085 00 11050 100</t>
  </si>
  <si>
    <t>900 0901 071 00 54920 600</t>
  </si>
  <si>
    <t>911 0701 083 00 R0271 200</t>
  </si>
  <si>
    <t>911 0701 051 00 11200 200</t>
  </si>
  <si>
    <t>911 0701 083 00 L0271 200</t>
  </si>
  <si>
    <t>По Администрации:
 - в связи с необходимостью оплаты жилищной субсидии работникам бюджетной сферы в сумме 62,5т.р.</t>
  </si>
  <si>
    <t xml:space="preserve">905 0113 020 00 14000 200 </t>
  </si>
  <si>
    <t xml:space="preserve">905 0113 020 00 16000 200 </t>
  </si>
  <si>
    <t>905 0412 020 00 12000 200</t>
  </si>
  <si>
    <t>905 0113 020 00 18000 800</t>
  </si>
  <si>
    <t>По УЖКХ:
 - в связи с поступление денежных средств из областого бюджета на строительство теплотрассы в Восточном жилом районе в сумме 43000,0 т.р.</t>
  </si>
  <si>
    <t>915 1003 086 00 80010 300</t>
  </si>
  <si>
    <t xml:space="preserve"> - на оплату жилья и коммунальных услуг отдельным категориям граждан на - 7428,0т.р.;
 - на выплату единовременного пособия беременной жене военнослужащего, проходящего военную службу по призыву в сумме - 100,0т.р.;
 - на меры соц.поддержки семей, имеющих детей (материнский капитал) в сумме - 1200,0т.р.</t>
  </si>
  <si>
    <t xml:space="preserve"> - за счет увеличения дотации из областного бюджета на выравнивание бюджетной обеспеченности на 24924,0т.р.:</t>
  </si>
  <si>
    <t xml:space="preserve"> - на денежные выплаты гражданам, имеющим звание "Почетный гражданин Анжеро-Судженского городского округа" (дополнительно на 1 чел.) в сумме - 64,9т.р.</t>
  </si>
  <si>
    <t xml:space="preserve"> - на доведение до 100% ФОТ Администрации города в сумме - 7447,0т.р.</t>
  </si>
  <si>
    <t xml:space="preserve"> - на доведение до 100% ФОТ ОООП в сумме - 1543,8т.р.</t>
  </si>
  <si>
    <t xml:space="preserve"> - на доведение до 100% ФОТ МФЦ (рассчитан по факту за 6 мес.2016г. + по начислению июня доведено до года + фот на 1 чел. на 6 мес, всего на 42 шт.ед.) в сумме - 4609,7т.р.</t>
  </si>
  <si>
    <t xml:space="preserve"> - на доведение до 100% ФОТ (аппарат) в сумме - 213,7т.р.</t>
  </si>
  <si>
    <t xml:space="preserve"> - на доведение до 100% ФОТ учреждений КФКиС в сумме - 1301,5т.р.</t>
  </si>
  <si>
    <t xml:space="preserve"> - на доведение до 100% ФОТ  в сумме - 1554,3т.р.</t>
  </si>
  <si>
    <t xml:space="preserve"> - на доведение до 100% ФОТ (аппарат) в сумме - 213,6т.р.</t>
  </si>
  <si>
    <t xml:space="preserve"> - на доведение до 100% ФОТ (аппарат) в сумме - 930,4т.р.</t>
  </si>
  <si>
    <t xml:space="preserve"> - на доведение до 100% ФОТ  УЖ в сумме - 2190,4т.р.</t>
  </si>
  <si>
    <t xml:space="preserve"> - на  приобретение компьютерного оборудования - 83,4т.р.</t>
  </si>
  <si>
    <t xml:space="preserve"> - на доведение до 100% ФОТ  АДС в сумме - 1589,0т.р., в том числе на ЕДДС - 195,8т.р., АДС - 1393,2т.р.</t>
  </si>
  <si>
    <t>911 0709 053 00 11040 100</t>
  </si>
  <si>
    <t xml:space="preserve"> - на доведение до 100% ФОТ (аппарат) в сумме - 670,6т.р.</t>
  </si>
  <si>
    <t>919 0505 102 00 11900 600</t>
  </si>
  <si>
    <t>919 0505 104 00 11040 100</t>
  </si>
  <si>
    <t>919 0505 116 00 11900 600</t>
  </si>
  <si>
    <t>904 1101 090 00 11010 600</t>
  </si>
  <si>
    <t>904 1105 090 00 11040 100</t>
  </si>
  <si>
    <t>900 0309 031 00 13000 100</t>
  </si>
  <si>
    <t xml:space="preserve"> - на доведение до 100% ФОТ ГО и ЧС в сумме - 849,0т.р.</t>
  </si>
  <si>
    <t>900 0113 033 00 11150 100</t>
  </si>
  <si>
    <t>905 0113 020 00 19000 100</t>
  </si>
  <si>
    <t>Дотации</t>
  </si>
  <si>
    <t>Доведение до 100% ФОТ Администрации</t>
  </si>
  <si>
    <t>Доведение до 100% ФОТ ГОиЧС</t>
  </si>
  <si>
    <t>Доведение до 100% ФОТ ОООП</t>
  </si>
  <si>
    <t>Доведение до 100% ФОТ КФКиС аппарат</t>
  </si>
  <si>
    <t xml:space="preserve">Доведение до 100% ФОТ учреждений КФКиС </t>
  </si>
  <si>
    <t>Доведение до 100% ФОТ Управлению культуры аппарат</t>
  </si>
  <si>
    <t xml:space="preserve">ФОТ учреждениям Управленя  культуры </t>
  </si>
  <si>
    <t>Доведение до 100% ФОТ КУМИ</t>
  </si>
  <si>
    <t>Доведение до 100% ФОТ Управлению образованияаппарат</t>
  </si>
  <si>
    <t>Доведение до 100% ФОТ УЖКХ</t>
  </si>
  <si>
    <t>Доведение до 100% ФОТ АДС</t>
  </si>
  <si>
    <t>ФОТ МФЦ (42 шт.ед.)</t>
  </si>
  <si>
    <t>Архив прочие</t>
  </si>
  <si>
    <t>УЖКХ компьютер</t>
  </si>
  <si>
    <t>Доведение до МРОТ ФОТ АХО</t>
  </si>
  <si>
    <t>900 0104 011 00 11030 200</t>
  </si>
  <si>
    <t xml:space="preserve">на трудоустройство несовершеннолетних подростков за счет поступившей финпомощи от ЗАО "Управляющая компания КЕМ-ОЙЛ" </t>
  </si>
  <si>
    <t xml:space="preserve"> - по муниципальной программе "Обеспечение доступным и комфортным жильем и коммунальными услугами" для погашения кредиторской задолженности за технологическое присоединение (эл-во) перед ООО КЭнК в Восточном районе в сумме 3000,0 т.р.; для погашения кредиторской задолженности по исполнительному листу КЭСК в сумме 45,0т.р.</t>
  </si>
  <si>
    <t>900 0501 044 00 11200 800</t>
  </si>
  <si>
    <t>900 1003 042 00 L0200 300</t>
  </si>
  <si>
    <t xml:space="preserve"> - от ЗАО "Управляющая компания КЕМ-ОЙЛ" для Управления образованя на трудоустройство несовершеннолетних подростков в период летних каникул в количестве 18 чел. (9 чел. МБОУ "ООШ №8" и 9 чел. МБОУ "СОШ №22") в сумме - 45,0т.р.:</t>
  </si>
  <si>
    <t xml:space="preserve"> - от продажи муниципальных земель в сумме 1500,0т.р. на погашение задолженности за технологическое присоединение  теплоснабжения в Восточном районе. </t>
  </si>
  <si>
    <t>911 0709 053 00 11520 200</t>
  </si>
  <si>
    <t>911 0709 053 00 11520 100</t>
  </si>
  <si>
    <t>911 0702 051 00 12220 200</t>
  </si>
  <si>
    <t>911 0709 053 00 11350 600</t>
  </si>
  <si>
    <t>911 0701 051 00 11200 100</t>
  </si>
  <si>
    <t>911 0701 051 00 11200 600</t>
  </si>
  <si>
    <t>911 0709 053 00 11520 600</t>
  </si>
  <si>
    <t>911 0702 051 00 71820 800</t>
  </si>
  <si>
    <t>По Управлению образования:
 - в связи с необходимостью оплаты пеней и госпошлин, задолженности по гсм в сумме 610,0 т.р.;
 - для оплаты за коммунальные услуги в сумме 535,0т.р.</t>
  </si>
  <si>
    <t>911 0702 051 00 11230 600</t>
  </si>
  <si>
    <t xml:space="preserve"> - по муниципальной программе  «Обеспечение общественного порядка, пожарной безопасности и защита от чрезвычайных ситуаций» на 2015-2018 гг.» для оплаты услуг спецсвязи, приобретения канцтоваров, гсм в сумме 21,5 т.р.;
 - для расчетов с БиО за уборку снега в сумме 100,0тыс.руб.;
 - по ГОиЧС для возмещения командировочных расходов на обучение в сумме - 30,0тыс.руб.</t>
  </si>
  <si>
    <t>900 0309 032 00 12700 200</t>
  </si>
  <si>
    <t>900 0309 032 00 13700 200</t>
  </si>
  <si>
    <t>900 0309 032 00 13700 300</t>
  </si>
  <si>
    <t>По КФКиС:
 - в связи с реорганизацией КФКиС в форме выделения из его состава нового юридического лица МБУ "Централизованная бухгалтерия комитета по физической культуре и спорту администрации Анжеро-Судженского городского округа" в сумме 391,4 т.р.;</t>
  </si>
  <si>
    <t>По УСЗН:
 - для оказания адресной помощи гражданам города по программе "Милосердие" в сумме 14,7 т.р.;</t>
  </si>
  <si>
    <t>905 0113 020 00 19000 200</t>
  </si>
  <si>
    <t>Источники финансирования дефицита бюджета</t>
  </si>
  <si>
    <t xml:space="preserve"> - за счет увеличения источников финансирования дефицита бюджета:</t>
  </si>
  <si>
    <t xml:space="preserve"> - на ежегодную денежную выплату лицам, награжденным нагрудным знаком "Почетный донор России" на 575,9т.р.;
 - на выплату гос.пособий лицам, не подлежащим обязательному социальному страхованию на случай временной нетрудоспособности в связми с материнством, и лицам, уволенным в связи с ликвидацией организаций в сумме - 300,0т.р.;</t>
  </si>
  <si>
    <t xml:space="preserve"> - на  обеспечение медицинской деятельности, связанной с донорством органов человека в целях трансплантации на в сумме - 720,0т.р.</t>
  </si>
  <si>
    <t>По Управлению образования:
 - на меры соц.поддержки многодетных семей (питание детей из многодетных семей) в сумме - 779,0 т.р.;
 - на реализацию мероприятий государственной прогрммы РФ "Доступная среда" на 2011-2020годы  (детский сад №3: замена пандуса, приобретение теневых навесов с поручнями, замена линолиума, оборудование для туалетных комнат для детей-инвалидов) в сумме - 815,7т.р.</t>
  </si>
  <si>
    <t>По КУМИ:
 - в связи с ликвидацией МП БСК "Одиссей" и необходимостью оплаты сложившейся задолженности (зарплата, коммунальные, прочие), так как КУМИ несет ответственность как учредитель при ликвидации учреждения, в сумме 900,0т.р.</t>
  </si>
  <si>
    <t>Переносятся ассигнования с одного ГРБС на другого:</t>
  </si>
  <si>
    <t xml:space="preserve"> - по муниципальной программе "Обеспечение доступным и комфортным жильем и коммунальными услугами", в связи с отсутствием необходимости и 100% финансированием доли софинансирования местного бюджета на приобретение жилья молодым семьям (4 семьи), ассигнования в сумме - 797,6тыс.руб. переносятнся на резервный фонд.</t>
  </si>
  <si>
    <t>По Администрации:
 - для оплаты за гсм, приобретение компьютера, ремонт МФУ, командировочные в сумме 100,0 т.р.;
 - для оплаты исполнительного листа ОАО "Кузбассэнергосбыт" в сумме - 26,8т.р.;
 - на командировочные расходы в сумме 100,0тыс.руб.;
 - для уплаты ежегодных взносов в Совет муниципальных образований в сумме - 97,2тыс.руб.;
 - по ГОиЧС для выплаты материального стимулирования добровольным пожарным в сумме 52,0тыс.руб.</t>
  </si>
  <si>
    <t>По Управлению образования:
 - для оплаты компенсации матерям до 3-х лет в сумме 1,0 т.р.;
 - в связи с увеличением МРОТ перераспределяются ассигнования на заработную плату в детских садах в сумме 374,3т.р.;
 - для оплаты пеней, штрафов по исполнительным листам ДД"Росток" в сумме 80,0т.р.;</t>
  </si>
  <si>
    <t>По управлению культуры:
 - для подготовки и проведения мероприятий, посвященных празднованию Дня шахтера, оплаты задолженности по исполнительным листам КомСАХ в сумме 18,8 т.р.</t>
  </si>
  <si>
    <t>По КУМИ:
 - в связи необходимостью оплаты труда по договорам ГПХ, оплаты за услуги  "Почта России", за приобретение канцтоваров на  сумму -  220,0 т.р.</t>
  </si>
  <si>
    <t>Факт на 01.08.2016</t>
  </si>
  <si>
    <t>530,0(по факту поступления на 01.08.16г)</t>
  </si>
  <si>
    <t>573,0 (по факту поступления на 01.08.16г,)</t>
  </si>
  <si>
    <t>120,0  (по факту поступления на 01.08.16г,)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</si>
  <si>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</si>
  <si>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398,0 (по факту поступления на 01.08.2016г)</t>
  </si>
  <si>
    <t>22,0(по факту поступления на 01.08.2016г)</t>
  </si>
  <si>
    <t>1512,0 (по факту поступления на 01.08.2016г)</t>
  </si>
  <si>
    <t xml:space="preserve">1500,0(письмо КУМИ от 09.08.2016г №580)             </t>
  </si>
  <si>
    <t>158,0 (по факту поступления на 01.08.2016г)</t>
  </si>
  <si>
    <t>Денежные взыскания(штрафы) за административные правонарушение в области налогов и сборов, предусмотренные Кодексом  РФ об административных правонарушениях</t>
  </si>
  <si>
    <t>12,0 (по факту поступления на 01.08.2016г)</t>
  </si>
  <si>
    <t>239,0 (по факту поступления на 01.08.2016г)</t>
  </si>
  <si>
    <t>81,0 (по факту поступления на 01.08.2016г)</t>
  </si>
  <si>
    <t>Денежные взыскания (штрафы)  за административные правонарушения в области государственного регулирования производства и оборота табачной продукции</t>
  </si>
  <si>
    <t>40,0 (по факту поступления на 01.08.2016г)</t>
  </si>
  <si>
    <t>4822,0 (по факту поступления на 01.08.2016г)</t>
  </si>
  <si>
    <t>На основании   Закона Кемеровской  области от 12.07.2016г №56-ОЗ "О внесении изменений в закон Кемеровской области "Об областном бюджете на 2016 год", Департамента социальной защиты населения Кемеровской области от 27.06.2016г. № 715, от 4.08.2016г. № 856.</t>
  </si>
  <si>
    <t>10% согласно баланса финансово хозяйственной деятельности предприятий за 2015год</t>
  </si>
  <si>
    <t xml:space="preserve"> - на доведение до МРОТ ФОТ АХО в сумме - 228,4т.р.</t>
  </si>
  <si>
    <t xml:space="preserve"> - на ФОТ учреждений управления культуры в сумме - 1215,1т.р.</t>
  </si>
  <si>
    <t xml:space="preserve"> - на доступную среду для детей-инвалидов в составе субсидии "Развитие единого образовательного пространства, повышение качества образовательных результатов в рамках подпрограммы «Развитие дошкольного, общего образования и дополнительного образования детей»  (детский сад №3: замена пандуса, приобретение теневых навесов с поручнями, замена линолиума, оборудование для туалетных комнат для детей-инвалидов) на 816,0 т.р. ;</t>
  </si>
  <si>
    <t>По УЖКХ:
-  для оплаты кредиторской задолжености за электроэнергию, доставку песка, штрафа ГИБДД в сумме 3000,0 т.р.;
 - для бесперебойной работы отдела УЖКХ в опрерационных системах, на приобретение компьютеров в сумме 1,1 т.р.;</t>
  </si>
  <si>
    <t>По УСЗН:
 - в связи с увеличением кадастровой стоимости земли, на основаниии ходатайства МКУ "Реабилитационный центр для детей и подростков" для оплаты земельного налога в сумме 34,1 т.р.;
 - в связи с увеличением МРОТ с 1.07.2016г., для оплаты заработной платы молодежным отрядам в сумме - 1,2т.р.</t>
  </si>
  <si>
    <t xml:space="preserve"> - Архиву на погашение кредиторской задолженности за технологическое присоединение к электрическим сетям ОАО "Кузбассэнергосбыт", за проектные работы ООО "Электротехпроект", на возмещение коммунальных услуг ОАО "Анжеромаш", на обучение пожарно-техническому минимуму для руководителей в РППЦ "Тетраком" в сумме - 219,6т.р.</t>
  </si>
  <si>
    <t xml:space="preserve">Управлоению культуры: </t>
  </si>
  <si>
    <t xml:space="preserve"> - на ФОТ учреждений в сумме - 2497,1т.р.</t>
  </si>
  <si>
    <t>4.  Итог сбалансированности бюджета:</t>
  </si>
  <si>
    <r>
      <t>1.1.1.</t>
    </r>
    <r>
      <rPr>
        <b/>
        <u/>
        <sz val="13"/>
        <rFont val="Times New Roman"/>
        <family val="1"/>
        <charset val="204"/>
      </rPr>
      <t xml:space="preserve"> дотации  </t>
    </r>
    <r>
      <rPr>
        <sz val="13"/>
        <rFont val="Times New Roman"/>
        <family val="1"/>
        <charset val="204"/>
      </rPr>
      <t xml:space="preserve">увеличиваются на 24924,0 на тыс руб: </t>
    </r>
  </si>
  <si>
    <r>
      <t xml:space="preserve">1.1.2. </t>
    </r>
    <r>
      <rPr>
        <b/>
        <u/>
        <sz val="13"/>
        <rFont val="Times New Roman"/>
        <family val="1"/>
        <charset val="204"/>
      </rPr>
      <t>субсидии</t>
    </r>
    <r>
      <rPr>
        <sz val="13"/>
        <rFont val="Times New Roman"/>
        <family val="1"/>
        <charset val="204"/>
      </rPr>
      <t xml:space="preserve"> увеличиваются на  33,5 на тыс руб: </t>
    </r>
  </si>
  <si>
    <r>
      <t xml:space="preserve">1.1.3 </t>
    </r>
    <r>
      <rPr>
        <b/>
        <u/>
        <sz val="13"/>
        <rFont val="Times New Roman"/>
        <family val="1"/>
        <charset val="204"/>
      </rPr>
      <t>субвенции</t>
    </r>
    <r>
      <rPr>
        <sz val="13"/>
        <rFont val="Times New Roman"/>
        <family val="1"/>
        <charset val="204"/>
      </rPr>
      <t xml:space="preserve"> уменьшаются на 6962,1 тыс. руб.:  </t>
    </r>
  </si>
  <si>
    <r>
      <t xml:space="preserve">1.1.4 </t>
    </r>
    <r>
      <rPr>
        <b/>
        <u/>
        <sz val="13"/>
        <rFont val="Times New Roman"/>
        <family val="1"/>
        <charset val="204"/>
      </rPr>
      <t>иные межбюджетные трансферты</t>
    </r>
    <r>
      <rPr>
        <sz val="13"/>
        <rFont val="Times New Roman"/>
        <family val="1"/>
        <charset val="204"/>
      </rPr>
      <t xml:space="preserve"> увеличиваются на 720,0 тыс.рублей</t>
    </r>
  </si>
  <si>
    <r>
      <t>Денежные взыскания (штрафы) за нарушение законодательства о налогах и сборах, предусмотренные ст. 116, 118, 119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>, п. 1 и 2 ст. 120, ст.125, 126, 128, 129, 129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>, 132, 133, 134, 135, 135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 xml:space="preserve"> Налогового кодекса Российской Федерации, а также штрафы, взыскание которых осуществляется на основании ранее действовавшей ст. 117 Налогового кодекса Российской Федерации </t>
    </r>
  </si>
  <si>
    <r>
      <rPr>
        <b/>
        <sz val="13"/>
        <rFont val="Times New Roman"/>
        <family val="1"/>
        <charset val="204"/>
      </rPr>
      <t>2.</t>
    </r>
    <r>
      <rPr>
        <sz val="13"/>
        <rFont val="Times New Roman"/>
        <family val="1"/>
        <charset val="204"/>
      </rPr>
      <t xml:space="preserve"> Изменения по расходам местного бюджета вносятся (приложения № 2, 3, 4): </t>
    </r>
  </si>
  <si>
    <r>
      <rPr>
        <b/>
        <sz val="13"/>
        <rFont val="Times New Roman"/>
        <family val="1"/>
        <charset val="204"/>
      </rPr>
      <t>2.1.</t>
    </r>
    <r>
      <rPr>
        <sz val="13"/>
        <rFont val="Times New Roman"/>
        <family val="1"/>
        <charset val="204"/>
      </rPr>
      <t xml:space="preserve">  На основании   Закона Кемеровской  области от 12.07.2016г №56-ОЗ "О внесении изменений в закон Кемеровской области "Об областном бюджете на 2016 год", Департамента социальной защиты населения Кемеровской области от 27.06.2016г. № 715, от 4.08.2016г. № 856.</t>
    </r>
  </si>
  <si>
    <r>
      <t>Переносятся ассигнования с одной БК на другую:</t>
    </r>
    <r>
      <rPr>
        <sz val="13"/>
        <rFont val="Times New Roman"/>
        <family val="1"/>
        <charset val="204"/>
      </rPr>
      <t xml:space="preserve">
По Управлению образования:
  - для софинансирования мероприятий государственной программы РФ "Доступная среда" на 2011-2020 годы, в соответствии с соглашением на создание в дошкольных образовательных организациях условий для инклюзивного образования детей-инвалидов, в том числе создание универсальной безбарьерной среды для беспрепятственного доступа для детей-инвалидов  в сумме 82,0 т.р.;</t>
    </r>
  </si>
  <si>
    <t>3. По источникам финансирования:
 В связи с поступлением дополнительных доходов увеличиваются источники финансирования дефицита бюджета по строке "Получение кредитов от кредитных организаций бюджетами городских округов в валюте Российской Федерации" на 2497,1 т.р. (или до 10 % от объема доходов местного бюджета на 2016 год без учета безвозмездных поступлений и дополнительного норматива отчислений от налога на доходы физических лиц, без учета снижения остатков средств на счетах по учету средств местного бюджета).</t>
  </si>
  <si>
    <r>
      <rPr>
        <b/>
        <sz val="13"/>
        <rFont val="Times New Roman"/>
        <family val="1"/>
        <charset val="204"/>
      </rPr>
      <t>1.3</t>
    </r>
    <r>
      <rPr>
        <sz val="13"/>
        <rFont val="Times New Roman"/>
        <family val="1"/>
        <charset val="204"/>
      </rPr>
      <t xml:space="preserve"> В связи с дополнительным поступлением доходов увеличиваются прочие безвозмездные поступления на сумму 65,0 тыс.рублей.:    в т.ч. финпомощь от ЗАО "Управляющая компания КЕМ-ОЙЛ" 45,0тыс.руб.; 20,0 тыс.руб. финпомощь от Н.К.Крушинского</t>
    </r>
  </si>
  <si>
    <t>ИТОГО доходов собственной базы:1500,0+65,0=1565,0 тыс. рублей</t>
  </si>
  <si>
    <t>Переносятся ассигнования с одной БК на другую:</t>
  </si>
  <si>
    <t xml:space="preserve"> </t>
  </si>
  <si>
    <t>формулы
 доходы</t>
  </si>
  <si>
    <t>к  решению  «О внесении изменений в решение  Совета народных депутатов  Анжеро-Судженского городского округа от 20.12.2018  № 167 «О  бюджете  муниципального образования «Анжеро-Судженский городской округ» на 2019 год  и на плановый период  2020 и 2021 годов»</t>
  </si>
  <si>
    <t>(тыс.руб.)</t>
  </si>
  <si>
    <t>913 0703 051 00 11231 600</t>
  </si>
  <si>
    <t>итого</t>
  </si>
  <si>
    <t>План на 2019 год</t>
  </si>
  <si>
    <t>Налоговые неналоговые доходы</t>
  </si>
  <si>
    <t>911 0701 051 00 11202 600</t>
  </si>
  <si>
    <t>911 0703 051 00 11231 600</t>
  </si>
  <si>
    <t>911 0701 032 00 11701 600</t>
  </si>
  <si>
    <t>911 0701 032 00 11701 200</t>
  </si>
  <si>
    <t>1.2. Вносятся изменения в план по доходам налоговых и  неналоговых платежей на 2019 год:</t>
  </si>
  <si>
    <t>по Управлению образования:</t>
  </si>
  <si>
    <t>911 0702 051 00 12221 200</t>
  </si>
  <si>
    <t>911 0702 032 00 11701 600</t>
  </si>
  <si>
    <t>911 0703 032 00 11701 600</t>
  </si>
  <si>
    <t>Субсидии, субвенции, иные межбюджетные трансферты</t>
  </si>
  <si>
    <r>
      <rPr>
        <b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>. Изменения по доходам вносятся на 2019 год:</t>
    </r>
  </si>
  <si>
    <t>911 0701 051 00 11202 800</t>
  </si>
  <si>
    <t>дополнительно</t>
  </si>
  <si>
    <r>
      <rPr>
        <b/>
        <sz val="14"/>
        <rFont val="Times New Roman"/>
        <family val="1"/>
        <charset val="204"/>
      </rPr>
      <t xml:space="preserve">1.3. </t>
    </r>
    <r>
      <rPr>
        <sz val="14"/>
        <rFont val="Times New Roman"/>
        <family val="1"/>
        <charset val="204"/>
      </rPr>
      <t xml:space="preserve">Увеличиваются прочие безвозмездные поступления  на сумму </t>
    </r>
    <r>
      <rPr>
        <b/>
        <sz val="14"/>
        <rFont val="Times New Roman"/>
        <family val="1"/>
        <charset val="204"/>
      </rPr>
      <t xml:space="preserve"> 3600,0 тыс.руб </t>
    </r>
    <r>
      <rPr>
        <sz val="14"/>
        <rFont val="Times New Roman"/>
        <family val="1"/>
        <charset val="204"/>
      </rPr>
      <t>за счет финансовой помощи от АО "Сибирский Антрацит" .</t>
    </r>
  </si>
  <si>
    <t>ВСЕГО дополнительно доходов собственной базы 3600,0тыс.руб.</t>
  </si>
  <si>
    <r>
      <rPr>
        <b/>
        <sz val="14"/>
        <rFont val="Times New Roman"/>
        <family val="1"/>
        <charset val="204"/>
      </rPr>
      <t>4.</t>
    </r>
    <r>
      <rPr>
        <sz val="14"/>
        <rFont val="Times New Roman"/>
        <family val="1"/>
        <charset val="204"/>
      </rPr>
      <t xml:space="preserve"> Изменения по расходам местного бюджета вносятся (приложения 3, 4, 5): </t>
    </r>
  </si>
  <si>
    <r>
      <rPr>
        <b/>
        <sz val="14"/>
        <rFont val="Times New Roman"/>
        <family val="1"/>
        <charset val="204"/>
      </rPr>
      <t>6.</t>
    </r>
    <r>
      <rPr>
        <sz val="14"/>
        <rFont val="Times New Roman"/>
        <family val="1"/>
        <charset val="204"/>
      </rPr>
      <t xml:space="preserve">  Итог сбалансированности бюджета:</t>
    </r>
  </si>
  <si>
    <r>
      <rPr>
        <b/>
        <sz val="14"/>
        <rFont val="Times New Roman"/>
        <family val="1"/>
        <charset val="204"/>
      </rPr>
      <t>4.2.</t>
    </r>
    <r>
      <rPr>
        <sz val="14"/>
        <rFont val="Times New Roman"/>
        <family val="1"/>
        <charset val="204"/>
      </rPr>
      <t xml:space="preserve"> По ходатайствам бюджетных учреждений:</t>
    </r>
  </si>
  <si>
    <t>По Управлению культуры:</t>
  </si>
  <si>
    <t xml:space="preserve"> - для проведения инженерных изысканий на объекте "Детская школа искусств" в сумме 61,1 т.р..</t>
  </si>
  <si>
    <t>За счет финансовой помощи от АО "Сибирский Антрацит" в сумме 3600,0 т.р., в том числе:</t>
  </si>
  <si>
    <r>
      <t xml:space="preserve"> </t>
    </r>
    <r>
      <rPr>
        <b/>
        <sz val="14"/>
        <rFont val="Times New Roman"/>
        <family val="1"/>
        <charset val="204"/>
      </rPr>
      <t>По Управлению культуры:</t>
    </r>
    <r>
      <rPr>
        <sz val="14"/>
        <rFont val="Times New Roman"/>
        <family val="1"/>
        <charset val="204"/>
      </rPr>
      <t xml:space="preserve">
  -  для проведения инженерных изысканий на объекте "Детская школа искусств"  на 600,0 т.р.;</t>
    </r>
  </si>
  <si>
    <r>
      <rPr>
        <b/>
        <sz val="14"/>
        <rFont val="Times New Roman"/>
        <family val="1"/>
        <charset val="204"/>
      </rPr>
      <t>По Управлению образования:</t>
    </r>
    <r>
      <rPr>
        <b/>
        <u/>
        <sz val="14"/>
        <rFont val="Times New Roman"/>
        <family val="1"/>
        <charset val="204"/>
      </rPr>
      <t xml:space="preserve">
</t>
    </r>
    <r>
      <rPr>
        <sz val="14"/>
        <rFont val="Times New Roman"/>
        <family val="1"/>
        <charset val="204"/>
      </rPr>
      <t xml:space="preserve">  - для  реализации инициативного бюджетирования через Управление образования (капитального ремонта актового зала школы № 17) на 900,6 т.р.;
 - для устройства системы вентиляции, электроосвещения и выполнения электромонтажных работ в актовом зале шк. №17 1880,1 на т.р.;
- для противопожарных мероприятий на 219,3т.р..</t>
    </r>
  </si>
  <si>
    <t>Источники дефицита бюджета</t>
  </si>
  <si>
    <t>911 0709 053 00 11351 600</t>
  </si>
  <si>
    <t>913 0703 032 00 11701 600</t>
  </si>
  <si>
    <t>919 0502 103 00 11203 800</t>
  </si>
  <si>
    <t>911 0701 051 00 11202 100</t>
  </si>
  <si>
    <t>911 0701 051 00 11202 200</t>
  </si>
  <si>
    <t>по УСЗН:</t>
  </si>
  <si>
    <t>911 0702 051 00 11211 600</t>
  </si>
  <si>
    <t>911 0702 051 00 S1771 600</t>
  </si>
  <si>
    <t>913 0804 060 00 14522 200</t>
  </si>
  <si>
    <t>911 1003 052 00 80120 300</t>
  </si>
  <si>
    <t>915 1003 086 00 52800 300</t>
  </si>
  <si>
    <t>915 1003 086 00 80080 300</t>
  </si>
  <si>
    <t>915 1003 086 Р1 80010 300</t>
  </si>
  <si>
    <t>915 1003 086 00 70010 300</t>
  </si>
  <si>
    <t>915 1003 086 00 70060 300</t>
  </si>
  <si>
    <t>915 1003 086 00 70090 300</t>
  </si>
  <si>
    <t>915 1003 086 00 80090 300</t>
  </si>
  <si>
    <t>915 1003 086 Р1 70050 300</t>
  </si>
  <si>
    <t>915 1003 086 00 80110 300</t>
  </si>
  <si>
    <t>915 1003 086 00 80110 800</t>
  </si>
  <si>
    <t>913 0801 060 00 11402 600</t>
  </si>
  <si>
    <t>913 0801 060 00 13421 600</t>
  </si>
  <si>
    <t>КФСиТ</t>
  </si>
  <si>
    <t>904 1101 090 00 15232 600</t>
  </si>
  <si>
    <t>904 1101 032 00 11701 600</t>
  </si>
  <si>
    <t>915 1004 086 Р1 50840 300</t>
  </si>
  <si>
    <t>913 0801 060 00 12411 600</t>
  </si>
  <si>
    <t>913 0804 060 00 14041 200</t>
  </si>
  <si>
    <t>КСП</t>
  </si>
  <si>
    <t>906 0106 990 00 24001 100</t>
  </si>
  <si>
    <t>915 1002 085 00 11051 100</t>
  </si>
  <si>
    <t>915 1002 085 00 11051 200</t>
  </si>
  <si>
    <t>919 0503 115 00 11152 200</t>
  </si>
  <si>
    <t>919 0502 103 00 16101 800</t>
  </si>
  <si>
    <t>919 0503 118 00 11182 600</t>
  </si>
  <si>
    <t>911 1003 052 00 72010 600</t>
  </si>
  <si>
    <t>913 0804 060 00 14522 100</t>
  </si>
  <si>
    <t>911 0709 053 00 11521 600</t>
  </si>
  <si>
    <t>913 0801 032 00 11701 600</t>
  </si>
  <si>
    <t>913 0703 051 00 11231 200</t>
  </si>
  <si>
    <t>911 0702 032 00 11701 200</t>
  </si>
  <si>
    <t>905 0113 020 00 15001 200</t>
  </si>
  <si>
    <t>УО</t>
  </si>
  <si>
    <t>919 0502 103 00 12402 800</t>
  </si>
  <si>
    <t>919 0502  103 00 15101 800</t>
  </si>
  <si>
    <t xml:space="preserve"> -  на доведение ФОТ до расчетного частично на 20285,0 т.р.;
 - на софинансирование капитального ремонта школы №3 на 634,0 т.р.;</t>
  </si>
  <si>
    <t>911 0709 053 00 11521 100</t>
  </si>
  <si>
    <t>906 0106 990 00 20131 100</t>
  </si>
  <si>
    <t xml:space="preserve"> - на оплату за содержание незаселенных квартир на 421,4 т.р.;</t>
  </si>
  <si>
    <t>915 1004 086 P1 55730 300</t>
  </si>
  <si>
    <t>904 1105 090 00 11042 100</t>
  </si>
  <si>
    <t>904 1105 090 00 11042 200</t>
  </si>
  <si>
    <t>904 1105 090 00 11044 600</t>
  </si>
  <si>
    <t>911 0701 051 00 L0270 200</t>
  </si>
  <si>
    <t>911 0702 051 00 S3420 600</t>
  </si>
  <si>
    <t>919 0409 111 00 11121 600</t>
  </si>
  <si>
    <t>919 0409 112 00 11111 600</t>
  </si>
  <si>
    <t>919 0503 113 00 11131 600</t>
  </si>
  <si>
    <t>919 0503 114 00 11141 600</t>
  </si>
  <si>
    <t>911 1003 086 Р1 70050 600</t>
  </si>
  <si>
    <t xml:space="preserve">  - для оплаты противопожарных мероприятий в сумме в сумме 187,3 т.р.;
 - для оплаты охраны в сумме 38,3 т.р.;
 - для оплаты ГСМ в сумме 50,7 т.р.;
 - для оплаты связи в сумме 7,0 т.р.;
 - для оплаты дератизации в сумме 87,6 т.р.;
 - для оплаты обучения в сумме 1,7 т.р.; </t>
  </si>
  <si>
    <t>911 0703 051 00 12003 600</t>
  </si>
  <si>
    <t>915 1003 086 00 80100 200</t>
  </si>
  <si>
    <t>911 1101 090 00 15233 600</t>
  </si>
  <si>
    <t>900 0113 033 00 12161 200</t>
  </si>
  <si>
    <t>900 0113 033 00 12161 800</t>
  </si>
  <si>
    <t xml:space="preserve"> 1.1.1.  дотация увеличивается   на 79200,0тыс.руб.</t>
  </si>
  <si>
    <t>Дотация</t>
  </si>
  <si>
    <t xml:space="preserve"> 1.1.2.  субсидии увеличиваются   на тыс.руб.</t>
  </si>
  <si>
    <t xml:space="preserve"> 1.1.3. иные межбюджетные трансферты увеличиваются на тыс. руб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</si>
  <si>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</si>
  <si>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</si>
  <si>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</si>
  <si>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</si>
  <si>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</si>
  <si>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</si>
  <si>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</si>
  <si>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</si>
  <si>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</si>
  <si>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</si>
  <si>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Единый налог на вмененный доход для отдельных видов деятельности</t>
  </si>
  <si>
    <t>Налог, взимаемый в связи с применением патентной системы налогообложения, зачисляемый в бюджеты городских округов</t>
  </si>
  <si>
    <t>Транспортный налог с организаций</t>
  </si>
  <si>
    <t>Земельный налог с организаций, обладающих земельным участком, расположенным в границах  городских округов</t>
  </si>
  <si>
    <t>Государственная пошлина по делам, рассматриваемым в судах общей юрисдикции, мировыми судьями (за исключением Верховного Суда РФ)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</si>
  <si>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</si>
  <si>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</si>
  <si>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</si>
  <si>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</si>
  <si>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Государственная пошлина за выдачу разрешения на установку рекламной конструкции</t>
  </si>
  <si>
    <t>Государственная пошлина за выдачу органом местного самоуправления 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</si>
  <si>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Проценты, полученные от предоставления бюджетных кредитов внутри страны за счет средств бюджетов городских округов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</si>
  <si>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</si>
  <si>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</si>
  <si>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 xml:space="preserve">Прочие доходы от использования имущества и прав, находящихся в государственной и муниципальной собственности(за исключением имущества бюджетных и автономных учреждений,  и также имущества государственных и муниципальных унитарных предприятий, в т.ч. казенных) </t>
  </si>
  <si>
    <t>Прочие доходы от оказания платных услуг (работ) получателями средств бюджетов городских округов</t>
  </si>
  <si>
    <t xml:space="preserve">Прочие доходы от компенсации затрат бюджетов городских округов </t>
  </si>
  <si>
    <t>Доходы от продажи квартир, находящихся в собственности городских округов</t>
  </si>
  <si>
    <t>Доходы от реализации имущества, находящегося в  собственности городских округов (за исключением имущества муниципальных автономных учреждений, а также имущества муниципальных унитарных предприятий, в т.ч. казенных) в части реализации основных средств по указанному имуществу</t>
  </si>
  <si>
    <t xml:space="preserve">Денежные взыскания (штрафы) за нарушение законодательства о налогах и сборах, предусмотренные ст. 116, 118, 1191, п. 1 и 2 ст. 120, ст.125, 126, 128, 129, 1291, 132, 133, 134, 135, 1351 Налогового кодекса Российской Федерации, а также штрафы, взыскание которых осуществляется на основании ранее действовавшей ст. 117 Налогового кодекса Российской Федерации </t>
  </si>
  <si>
    <t>Денежные взыскания (штрафы) за административные правонарушение в области налогов и сборов, предусмотренные Кодексом  РФ об административных правонарушениях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</si>
  <si>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городских округов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</si>
  <si>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городских округов</t>
  </si>
  <si>
    <t>Денежные взыскания (штрафы) за нарушение законодательства в области окружающей среды</t>
  </si>
  <si>
    <t>Денежные взыскания (штрафы) за нарушение земельного законодательства</t>
  </si>
  <si>
    <t>Денежные взыскания (штрафы) за нарушение лесного законодательства</t>
  </si>
  <si>
    <t>Денежные взыскания (штрафы) за нарушения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</si>
  <si>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Прочие денежные взыскания (штрафы) за правонарушения в области дорожного движения</t>
  </si>
  <si>
    <t xml:space="preserve">Поступления  сумм в возмещение вреда, причиняемого автомобильным дорогам местного значения  транспортными средствами, осуществляющим перевозки тяжеловесных и  (или) крупногабаритных грузов, зачисляемые в бюджеты городских округов  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</si>
  <si>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</si>
  <si>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>По фактичкескому поступлению на 01.12.2019г</t>
  </si>
  <si>
    <t>915 1004 086 00 52700 300</t>
  </si>
  <si>
    <t>915 1003 086 00 70020 300</t>
  </si>
  <si>
    <t xml:space="preserve"> - на обеспечение мер социальной поддержки ветеранов труда в соответствии с Законом Кемеровской области от 20 декабря 2004 года № 105-ОЗ "О мерах социальной поддержки отдельной категории ветеранов Великой Отечественной войны и ветеранов труда"на 800,0 т.р.;
 - на обеспечение мер социальной поддержки ветеранов Великой Отечественной войны, проработавших в тылу в период с 22 июня 1941 года по 9 мая 1945 года не менее шести месяцев, исключая период работы на временно оккупированных территориях СССР, либо награжденных орденами и медалями СССР за самоотверженный труд в период Великой Отечественной войны, в соответствии с Законом Кемеровской области от 20 декабря 2004 года № 105-ОЗ "О мерах социальной поддержки отдельной категории ветеранов Великой Отечественной войны и ветеранов труда" на 260,0 т.р.;
 - на обеспечение мер социальной поддержки реабилитированных лиц и лиц, признанных пострадавшими от политических репрессий, в соответствии с Законом Кемеровской области от 20 декабря 2004 года № 114-ОЗ "О мерах социальной поддержки реабилитированных лиц и лиц, признанных пострадавшими от политических репрессий" на 173,0 т.р.;</t>
  </si>
  <si>
    <t>915 1003 086 00 70030 300</t>
  </si>
  <si>
    <t>915 1003 086 00 70070 300</t>
  </si>
  <si>
    <t>915 1003 086 00 80040 300</t>
  </si>
  <si>
    <t>915 1004 086 00 80050 300</t>
  </si>
  <si>
    <t>915 1003 086 00 70080 300</t>
  </si>
  <si>
    <t xml:space="preserve"> - на предоставление гражданам субсидий на оплату жилого помещения и коммунальных услуг на 1700,0 т.р.;
 - на меры социальной поддержки отдельных категорий многодетных матерей в соответствии с Законом Кемеровской области от 8 апреля 2008 года № 14-ОЗ "О мерах социальной поддержки отдельных категорий многодетных матерей" на 10,0 т.р.;
 - на меры социальной поддержки отдельных категорий приемных родителей в соответствии с Законом Кемеровской области от 7 февраля 2013 года № 9-ОЗ "О мерах социальной поддержки отдельных категорий приемных родителей" на 5,1 т.р.;
 - на меры социальной поддержки в целях развития дополнительного социального обеспечения отдельных категорий граждан в рамках публичного нормативного обязательства на 1208,0 т.р.;
 - на пособие на ребенка в соответствии с Законом Кемеровской области от 18 ноября 2004 года № 75-ОЗ "О размере, порядке назначения и выплаты пособия на ребенка" на 2344,0 т.р.;
 -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 на 4630,4 т.р.;</t>
  </si>
  <si>
    <t>915 1004 086 00 70840 200</t>
  </si>
  <si>
    <t xml:space="preserve"> - на меры социальной поддержки многодетных семей в соответствии с Законом Кемеровской области от 14 ноября 2005 года № 123-ОЗ "О мерах социальной поддержки многодетных семей в Кемеровской области" на 800,0 т.р.;
 - на дополнительную меру социальной поддержки семей, имеющих детей, в соответствии с Законом Кемеровской области от 25 апреля 2011 года № 51-ОЗ "О дополнительной мере социальной поддержки семей, имеющих детей" на 11,0 т.р.;
 -  на меры социальной поддержки отдельных категорий граждан в соответствии с Законом Кемеровской области от 27 января 2005 года № 15-ОЗ "О мерах социальной поддержки отдельных категорий граждан" на 35,1 т.р.;
 - на денежную выплату отдельным категориям граждан в соответствии с Законом Кемеровской области от 12 декабря 2006 года № 156-ОЗ "О денежной выплате отдельным категориям граждан" на 15,0 т.р.;</t>
  </si>
  <si>
    <t>915 1003 086 00 80070 300</t>
  </si>
  <si>
    <t xml:space="preserve"> - на ежемесячную денежную выплату, назначаемая в случае рождения третьего ребенка или последующих детей, до достижения ребенком возраста трех лет на 28,0 т.р.;
 - на социальную поддержку граждан, достигших возраста 70 лет, в соответствии с Законом Кемеровской области от 10 июня 2005 года № 74-ОЗ "О социальной поддержке граждан, достигших возраста 70 лет" на 8,0 т.р.;
 - на государственную социальную помощь малоимущим семьям и малоимущим одиноко проживающим гражданам в соответствии с Законом Кемеровской области от 8 декабря 2005 года № 140-ОЗ "О государственной социальной помощи малоимущим семьям и малоимущим одиноко проживающим гражданам" на 129,0 т.р.;
 - на меры социальной поддержки по оплате жилых помещений и (или) коммунальных услуг отдельных категорий граждан, оказание мер социальной поддержки которым относится к ведению субъекта Российской Федерации, в соответствии с Законом Кемеровской области от 17 января 2005 года № 2-ОЗ "О мерах социальной поддержки отдельных категорий граждан по оплате жилых помещений и (или) коммунальных услуг" на 600,0 т.р.;</t>
  </si>
  <si>
    <t xml:space="preserve"> - на меры социальной поддержки работников муниципальных учреждений социального обслуживания в виде пособий и компенсации в соответствии с Законом Кемеровской области от 30 октября 2007 года № 132-ОЗ "О мерах социальной поддержки работников муниципальных учреждений социального обслуживания" на 22,0 т.р.;</t>
  </si>
  <si>
    <t>915 1002 086 00 70190 100</t>
  </si>
  <si>
    <t>900 1003 041 00 51760 400</t>
  </si>
  <si>
    <t>911 1003 052 00 72030 300</t>
  </si>
  <si>
    <t>911 1003 052 00 72050 300</t>
  </si>
  <si>
    <t>911 1004 052 00 80140 300</t>
  </si>
  <si>
    <t xml:space="preserve"> 1.1.2.  субвенции  уменьшаются  на  17978,5 тыс. руб;</t>
  </si>
  <si>
    <t>919 0502 103 00 11302 800</t>
  </si>
  <si>
    <t>919 0502 103 00 15101 800</t>
  </si>
  <si>
    <t>919 0113 020 00 16001 800</t>
  </si>
  <si>
    <t>915 1003 086 Р1 80010 200</t>
  </si>
  <si>
    <t>915 1003 086 00 80110 200</t>
  </si>
  <si>
    <t xml:space="preserve">1.3. Увеличиваются прочие безвозмездные поступления  на сумму 5161,4 тыс.руб.
                                                     </t>
  </si>
  <si>
    <t>ВСЕГО доходов собственной базы 2019год:     21087,9тыс.руб.</t>
  </si>
  <si>
    <r>
      <rPr>
        <b/>
        <sz val="14"/>
        <rFont val="Times New Roman"/>
        <family val="1"/>
        <charset val="204"/>
      </rPr>
      <t xml:space="preserve">5. </t>
    </r>
    <r>
      <rPr>
        <sz val="14"/>
        <rFont val="Times New Roman"/>
        <family val="1"/>
        <charset val="204"/>
      </rPr>
      <t xml:space="preserve"> Вносятся изменения в источники финансирования дефицита бюджета, уменьшается  строка "Получение кредитов от кредитных организаций бюджетами городских округов в валюте Российской Федерации" на 5296,9 т.р. в связи с получением дополнительных доходов.</t>
    </r>
  </si>
  <si>
    <t xml:space="preserve"> - в связи с остатками средств по ПФДО на расходы учреждений дополнительного образования в сумме 293,2 т.р.;
  - для выплаты заработной платы в сумме 821,4 т.р.;</t>
  </si>
  <si>
    <t>1.1.  На основании проекта Закона Кемеровской области от "О внесении изменений в Закон Кемеровской области «Об областном бюджете на 2019 год и на плановый период 2020 и 2021 годов», уведомлений ГФУ от 27.11.19 №910, 5396,  от 04.12.19 №5450,  от 09.12.19 №5464, 5527:</t>
  </si>
  <si>
    <t xml:space="preserve"> -  на осуществление полномочия по осуществлению ежегодной денежной выплаты лицам, награжденным нагрудным знаком "Почетный донор России" на 56,8 т.р.;
 - на выплату социального пособия на погребение и возмещение расходов по гарантированному перечню услуг по погребению в соответствии с Законом Кемеровской области от 07 декабря 2018 года № 104-ОЗ "О  некоторых вопросах в сфере погребения и похоронного дела в Кемеровской области"на 173,4 т.р.;
 - на осуществление ежемесячной выплаты в связи с рождением (усыновлением) первого ребенка на 1403,1 т.р.;
 -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 на 9,5 т.р.;</t>
  </si>
  <si>
    <r>
      <rPr>
        <b/>
        <sz val="14"/>
        <rFont val="Times New Roman"/>
        <family val="1"/>
        <charset val="204"/>
      </rPr>
      <t>По УЖКХ:</t>
    </r>
    <r>
      <rPr>
        <sz val="14"/>
        <rFont val="Times New Roman"/>
        <family val="1"/>
        <charset val="204"/>
      </rPr>
      <t xml:space="preserve">
 - на возмещение недополученных экономически обоснованных затрат ресурсоснабжающим организациям и затрат, возникших в результате  приведения размера платы граждан за услуги теплоснабжения в соответствии с установленным предельным индексом на 31316,4 т.р.;
- на компенсацию выпадающих доходов организациям, предоставляющим населению услуги газоснабжения по тарифам, не обеспечивающим возмещение издержек на 23,6 т.р.;
 - на возмещение недополученных экономически обоснованных затрат топливоснабжающим организациям и затрат, возникших в результате приведения размера платы граждан за твердое топливо, реализуемое населению в соответствии с установленным предельным индексом на 26941,0 т.р.;</t>
    </r>
  </si>
  <si>
    <r>
      <rPr>
        <b/>
        <sz val="14"/>
        <rFont val="Times New Roman"/>
        <family val="1"/>
        <charset val="204"/>
      </rPr>
      <t>По Администрации:</t>
    </r>
    <r>
      <rPr>
        <sz val="14"/>
        <rFont val="Times New Roman"/>
        <family val="1"/>
        <charset val="204"/>
      </rPr>
      <t xml:space="preserve">
 - на осуществление полномочий по обеспечению жильем отдельных категорий граждан, установленных Федеральным законом от 24 ноября 1995 года № 181-ФЗ «О социальной защите инвалидов в Российской Федерации» на 71,5 т.р.;</t>
    </r>
  </si>
  <si>
    <r>
      <rPr>
        <b/>
        <sz val="14"/>
        <rFont val="Times New Roman"/>
        <family val="1"/>
        <charset val="204"/>
      </rPr>
      <t>По Управлению образования:</t>
    </r>
    <r>
      <rPr>
        <sz val="14"/>
        <rFont val="Times New Roman"/>
        <family val="1"/>
        <charset val="204"/>
      </rPr>
      <t xml:space="preserve">
 - на ежемесячные денежные выплаты отдельным категориям граждан, воспитывающих детей в возрасте от 1,5 до 7 лет, в соответствии с Законом Кемеровской области от 10 декабря 2007 года № 162-ОЗ "О ежемесячной денежной выплате отдельным категориям граждан, воспитывающих детей в возрасте от 1,5 до 7 лет" на 75,0 т.р.;
 - на социальную поддержку работников образовательных организаций и участников образовательного процесса на 150,0 т.р.;
 - на обеспечение детей-сирот и детей, оставшихся без попечения родителей, одеждой, обувью, единовременным денежным пособием при выпуске из общеобразовательных организаций на 90,0 т.р.;
 - на обеспечение зачисления денежных средств для детей-сирот и детей, оставшихся без попечения родителей, на специальные накопительные банковские счета на 39,0 т.р.;
 - на осуществление назначения и выплаты единовременного государственного пособия гражданам, усыновившим (удочерившим) детей-сирот и детей, оставшихся без попечения родителей, установленного Законом Кемеровской области от 13 марта 2008 года № 5-ОЗ «О предоставлении меры социальной поддержки гражданам, усыновившим (удочерившим) детей-сирот и детей, оставшихся без попечения родителей» на 150,0 т.р.;</t>
    </r>
  </si>
  <si>
    <r>
      <rPr>
        <b/>
        <sz val="14"/>
        <rFont val="Times New Roman"/>
        <family val="1"/>
        <charset val="204"/>
      </rPr>
      <t>По УСЗН:</t>
    </r>
    <r>
      <rPr>
        <sz val="14"/>
        <rFont val="Times New Roman"/>
        <family val="1"/>
        <charset val="204"/>
      </rPr>
      <t xml:space="preserve">
 -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"О государственных пособиях гражданам, имеющим детей"на 40,0 т.р.;
 -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 на 7950,0 т.р.;</t>
    </r>
  </si>
  <si>
    <r>
      <t xml:space="preserve">По администрации:
</t>
    </r>
    <r>
      <rPr>
        <sz val="14"/>
        <rFont val="Times New Roman"/>
        <family val="1"/>
        <charset val="204"/>
      </rPr>
      <t xml:space="preserve"> - по охране общественного порядка при проведении всех общественно-политических, культурно-массовых, религиозных и спортивных мероприятий на территории городского округа; охрана общественного порядка на водных объектах (казаки) в сумме 228,8 т.р.;</t>
    </r>
  </si>
  <si>
    <r>
      <rPr>
        <b/>
        <sz val="14"/>
        <rFont val="Times New Roman"/>
        <family val="1"/>
        <charset val="204"/>
      </rPr>
      <t xml:space="preserve">По Управлению образования:
</t>
    </r>
    <r>
      <rPr>
        <sz val="14"/>
        <rFont val="Times New Roman"/>
        <family val="1"/>
        <charset val="204"/>
      </rPr>
      <t xml:space="preserve"> - для оплаты мероприятий по доступной среде в сумме 24,0 т.р.;
 - для оплаты за  коммунальные услуги в сумме 2770,9 т.р.;
 - для оплаты госпошлины в сумме 28,8 т.р.;
 - для оплаты устройства вентиляции в школе №17  в сумме 233,4 т.р.;</t>
    </r>
  </si>
  <si>
    <r>
      <rPr>
        <b/>
        <sz val="14"/>
        <rFont val="Times New Roman"/>
        <family val="1"/>
        <charset val="204"/>
      </rPr>
      <t xml:space="preserve">По Управлению культуры:
</t>
    </r>
    <r>
      <rPr>
        <sz val="14"/>
        <rFont val="Times New Roman"/>
        <family val="1"/>
        <charset val="204"/>
      </rPr>
      <t xml:space="preserve"> - для оплаты пожарной сигнализации в сумме 42,4 т.р.;
 - на оплаты охраны, связи, ГСМ, возмещения эксплуатационных расходов в сумме 214,8 т.р.;</t>
    </r>
  </si>
  <si>
    <r>
      <rPr>
        <b/>
        <sz val="14"/>
        <rFont val="Times New Roman"/>
        <family val="1"/>
        <charset val="204"/>
      </rPr>
      <t>По КФСиТ:</t>
    </r>
    <r>
      <rPr>
        <sz val="14"/>
        <rFont val="Times New Roman"/>
        <family val="1"/>
        <charset val="204"/>
      </rPr>
      <t xml:space="preserve">
 - для ремонта автомобиля в сумме 5,0 т.р.;
 - для оплаты противопожарных мероприятий в сумме 2,3 т.р.;</t>
    </r>
  </si>
  <si>
    <r>
      <rPr>
        <b/>
        <sz val="14"/>
        <rFont val="Times New Roman"/>
        <family val="1"/>
        <charset val="204"/>
      </rPr>
      <t>По УСЗН:</t>
    </r>
    <r>
      <rPr>
        <sz val="14"/>
        <rFont val="Times New Roman"/>
        <family val="1"/>
        <charset val="204"/>
      </rPr>
      <t xml:space="preserve">
- для оплаты канцтоваров  в сумме 6,4 т.р.;
 - для выплаты социального пособия на погребение и возмещение расходов по гарантированному перечню услуг по погребению в сумме 23,3 т.р.;
 - для оплаты доставки по мерам социальной поддержки по оплате жилых помещений и (или) коммунальных услуг отдельных категорий граждан, оказание мер социальной поддержки которым относится к ведению субъекта Российской Федерации, в сумме 0,8 т.р.;</t>
    </r>
  </si>
  <si>
    <r>
      <rPr>
        <b/>
        <sz val="14"/>
        <rFont val="Times New Roman"/>
        <family val="1"/>
        <charset val="204"/>
      </rPr>
      <t xml:space="preserve">По УЖКХ:
 </t>
    </r>
    <r>
      <rPr>
        <sz val="14"/>
        <rFont val="Times New Roman"/>
        <family val="1"/>
        <charset val="204"/>
      </rPr>
      <t xml:space="preserve"> - для оплаты за возмещение недополученных экономически обоснованных затрат топливоснабжающим организациям и затрат, возникших в результате приведения размера платы граждан за твердое топливо, реализуемое населению в соответствии с установленным предельным индексом на 2700,0 т.р.;
 - для оплаты за содержание дорог в сумме 4828,2 т.р.;</t>
    </r>
  </si>
  <si>
    <r>
      <rPr>
        <b/>
        <sz val="14"/>
        <rFont val="Times New Roman"/>
        <family val="1"/>
        <charset val="204"/>
      </rPr>
      <t>По КСП</t>
    </r>
    <r>
      <rPr>
        <sz val="14"/>
        <rFont val="Times New Roman"/>
        <family val="1"/>
        <charset val="204"/>
      </rPr>
      <t>:
 - для оплаты труда председателя КСП в сумме 2,9 т.р.;</t>
    </r>
  </si>
  <si>
    <r>
      <rPr>
        <b/>
        <sz val="14"/>
        <rFont val="Times New Roman"/>
        <family val="1"/>
        <charset val="204"/>
      </rPr>
      <t>Переносятся ассигнования с одного ГРБС на другого:</t>
    </r>
    <r>
      <rPr>
        <sz val="14"/>
        <rFont val="Times New Roman"/>
        <family val="1"/>
        <charset val="204"/>
      </rPr>
      <t xml:space="preserve">
 - с Управления образования на УСЗН по мерам соцподдержки отдельных категорий граждан в соответствии с фактическими расходами в сумме 363,4 т.р.;</t>
    </r>
  </si>
  <si>
    <r>
      <t xml:space="preserve">
</t>
    </r>
    <r>
      <rPr>
        <b/>
        <sz val="14"/>
        <rFont val="Times New Roman"/>
        <family val="1"/>
        <charset val="204"/>
      </rPr>
      <t>По управлению образования:</t>
    </r>
    <r>
      <rPr>
        <sz val="14"/>
        <rFont val="Times New Roman"/>
        <family val="1"/>
        <charset val="204"/>
      </rPr>
      <t xml:space="preserve">
 - на противопожарные мероприятия на 886,7 т.р.;
- для оплаты местной доли по капитальному ремонту школы №3 в сумме 5996,3 т.р.;</t>
    </r>
  </si>
  <si>
    <r>
      <rPr>
        <b/>
        <sz val="14"/>
        <rFont val="Times New Roman"/>
        <family val="1"/>
        <charset val="204"/>
      </rPr>
      <t>По УЖКХ:</t>
    </r>
    <r>
      <rPr>
        <sz val="14"/>
        <rFont val="Times New Roman"/>
        <family val="1"/>
        <charset val="204"/>
      </rPr>
      <t xml:space="preserve">
 - на  возмещение недополученных экономически обоснованных затрат ресурсоснабжающим организациям и затрат, возникших в результате  приведения размера платы граждан за услуги теплоснабжения в соответствии с установленным предельным индексом на 3281,9 т.р.;
 - на возмещение недополученных экономически обоснованных затрат ресурсоснабжающим организациям и затрат, возникших в результате  приведения размера платы граждан за услуги водоснабжения, водоотведения в соответствии с установленным предельным индексом на 1845,4 т.р.;
 - на компенсацию выпадающих доходов организациям, предоставляющим населению услуги газоснабжения по тарифам, не обеспечивающим возмещение издержек на 337,0 т.р.;
 - на возмещение недополученных экономически обоснованных затрат топливоснабжающим организациям и затрат, возникших в результате приведения размера платы граждан за твердое топливо, реализуемое населению в соответствии с установленным предельным индексом на 10,0 т.р.;
  - для расчетов с ООО "Сибирский колос" на 500,0 т.р.;
 - для расчетов за уличное освещение нп 192,8 т.р.;</t>
    </r>
  </si>
  <si>
    <r>
      <t xml:space="preserve">За счет финансовой помощи от АО "Сибирские антрациты":
По УЖКХ:
</t>
    </r>
    <r>
      <rPr>
        <sz val="14"/>
        <rFont val="Times New Roman"/>
        <family val="1"/>
        <charset val="204"/>
      </rPr>
      <t xml:space="preserve"> - на возмещение недополученных экономически обоснованных затрат ресурсоснабжающим организациям и затрат, возникших в результате  приведения размера платы граждан за услуги теплоснабжения в соответствии с установленным предельным индексом на 3600,0 т.р.;</t>
    </r>
  </si>
  <si>
    <r>
      <rPr>
        <b/>
        <sz val="14"/>
        <rFont val="Times New Roman"/>
        <family val="1"/>
        <charset val="204"/>
      </rPr>
      <t>По КФСиТ:</t>
    </r>
    <r>
      <rPr>
        <sz val="14"/>
        <rFont val="Times New Roman"/>
        <family val="1"/>
        <charset val="204"/>
      </rPr>
      <t xml:space="preserve">
 - для доведения ФОТ на 2637,4 т.р.;</t>
    </r>
  </si>
  <si>
    <r>
      <rPr>
        <b/>
        <sz val="14"/>
        <rFont val="Times New Roman"/>
        <family val="1"/>
        <charset val="204"/>
      </rPr>
      <t xml:space="preserve">По КУМИ:
</t>
    </r>
    <r>
      <rPr>
        <sz val="14"/>
        <rFont val="Times New Roman"/>
        <family val="1"/>
        <charset val="204"/>
      </rPr>
      <t xml:space="preserve"> - по проведению капитальных ремонтов инженерной инфраструктуры на 3917,9 т.р.;</t>
    </r>
  </si>
  <si>
    <r>
      <rPr>
        <b/>
        <sz val="14"/>
        <rFont val="Times New Roman"/>
        <family val="1"/>
        <charset val="204"/>
      </rPr>
      <t>4.1.</t>
    </r>
    <r>
      <rPr>
        <sz val="14"/>
        <rFont val="Times New Roman"/>
        <family val="1"/>
        <charset val="204"/>
      </rPr>
      <t xml:space="preserve">  На основании  проекта Закона Кемеровской области "О внесении изменений в Закон Кемеровской области «Об областном бюджете на 2019 год и на плановый период 2020 и 2021 годов», уведомлений ГФУ от 27.11.19 № 5396, № 910: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</si>
</sst>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0.0"/>
    <numFmt numFmtId="165" formatCode="0.00000"/>
    <numFmt numFmtId="166" formatCode="0.0000"/>
    <numFmt numFmtId="167" formatCode="0.000000"/>
  </numFmts>
  <fonts count="37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u/>
      <sz val="13"/>
      <name val="Times New Roman"/>
      <family val="1"/>
      <charset val="204"/>
    </font>
    <font>
      <sz val="12"/>
      <name val="Arial Cyr"/>
      <charset val="204"/>
    </font>
    <font>
      <b/>
      <sz val="11"/>
      <name val="Times New Roman"/>
      <family val="1"/>
      <charset val="204"/>
    </font>
    <font>
      <i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1"/>
      <name val="Times"/>
      <family val="1"/>
    </font>
    <font>
      <sz val="8"/>
      <name val="Arial Cyr"/>
      <charset val="204"/>
    </font>
    <font>
      <vertAlign val="superscript"/>
      <sz val="11"/>
      <name val="Times"/>
      <family val="1"/>
    </font>
    <font>
      <i/>
      <sz val="10"/>
      <name val="Arial Cyr"/>
      <charset val="204"/>
    </font>
    <font>
      <b/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"/>
      <family val="1"/>
    </font>
    <font>
      <b/>
      <u/>
      <sz val="14"/>
      <name val="Arial Cyr"/>
      <charset val="204"/>
    </font>
    <font>
      <sz val="14"/>
      <color rgb="FF00B0F0"/>
      <name val="Arial Cyr"/>
      <charset val="204"/>
    </font>
    <font>
      <sz val="12"/>
      <color rgb="FF00B0F0"/>
      <name val="Times"/>
      <family val="1"/>
    </font>
    <font>
      <sz val="14"/>
      <color rgb="FFFF0000"/>
      <name val="Arial Cyr"/>
      <charset val="204"/>
    </font>
    <font>
      <b/>
      <sz val="10"/>
      <name val="Arial Cyr"/>
      <charset val="204"/>
    </font>
    <font>
      <b/>
      <sz val="16"/>
      <name val="Times New Roman"/>
      <family val="1"/>
      <charset val="204"/>
    </font>
    <font>
      <b/>
      <u/>
      <sz val="12"/>
      <name val="Times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72">
    <xf numFmtId="0" fontId="0" fillId="0" borderId="0" xfId="0"/>
    <xf numFmtId="164" fontId="3" fillId="0" borderId="0" xfId="0" applyNumberFormat="1" applyFont="1" applyFill="1" applyBorder="1"/>
    <xf numFmtId="49" fontId="3" fillId="0" borderId="0" xfId="0" applyNumberFormat="1" applyFont="1" applyFill="1" applyBorder="1"/>
    <xf numFmtId="49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0" fillId="0" borderId="0" xfId="0" applyFont="1" applyFill="1"/>
    <xf numFmtId="16" fontId="6" fillId="0" borderId="0" xfId="0" applyNumberFormat="1" applyFont="1" applyFill="1" applyAlignment="1">
      <alignment horizontal="left" wrapText="1"/>
    </xf>
    <xf numFmtId="49" fontId="3" fillId="0" borderId="1" xfId="0" applyNumberFormat="1" applyFont="1" applyFill="1" applyBorder="1"/>
    <xf numFmtId="0" fontId="3" fillId="0" borderId="1" xfId="0" applyFont="1" applyFill="1" applyBorder="1"/>
    <xf numFmtId="164" fontId="3" fillId="0" borderId="1" xfId="0" applyNumberFormat="1" applyFont="1" applyFill="1" applyBorder="1"/>
    <xf numFmtId="0" fontId="8" fillId="0" borderId="0" xfId="0" applyFont="1" applyFill="1" applyBorder="1" applyAlignment="1">
      <alignment horizontal="right"/>
    </xf>
    <xf numFmtId="0" fontId="0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 wrapText="1"/>
    </xf>
    <xf numFmtId="49" fontId="4" fillId="0" borderId="0" xfId="0" applyNumberFormat="1" applyFont="1" applyFill="1" applyBorder="1" applyAlignment="1">
      <alignment horizontal="left" wrapText="1"/>
    </xf>
    <xf numFmtId="0" fontId="8" fillId="0" borderId="0" xfId="0" applyFont="1" applyFill="1"/>
    <xf numFmtId="0" fontId="10" fillId="0" borderId="0" xfId="0" applyFont="1" applyFill="1"/>
    <xf numFmtId="164" fontId="0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0" fontId="12" fillId="0" borderId="1" xfId="0" applyFont="1" applyFill="1" applyBorder="1"/>
    <xf numFmtId="0" fontId="0" fillId="0" borderId="0" xfId="0" applyFont="1" applyFill="1" applyAlignment="1">
      <alignment vertical="center"/>
    </xf>
    <xf numFmtId="0" fontId="10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 wrapText="1"/>
    </xf>
    <xf numFmtId="16" fontId="4" fillId="0" borderId="0" xfId="0" applyNumberFormat="1" applyFont="1" applyFill="1" applyBorder="1" applyAlignment="1">
      <alignment horizontal="left" vertical="top" wrapText="1"/>
    </xf>
    <xf numFmtId="0" fontId="15" fillId="0" borderId="0" xfId="0" applyFont="1" applyFill="1" applyAlignment="1">
      <alignment vertical="center"/>
    </xf>
    <xf numFmtId="0" fontId="15" fillId="0" borderId="0" xfId="0" applyFont="1" applyFill="1"/>
    <xf numFmtId="0" fontId="1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6" fillId="0" borderId="5" xfId="0" applyNumberFormat="1" applyFont="1" applyFill="1" applyBorder="1" applyAlignment="1">
      <alignment vertical="top" wrapText="1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7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right" vertical="center"/>
    </xf>
    <xf numFmtId="164" fontId="9" fillId="0" borderId="1" xfId="0" applyNumberFormat="1" applyFont="1" applyFill="1" applyBorder="1" applyAlignment="1">
      <alignment horizontal="right" vertical="center"/>
    </xf>
    <xf numFmtId="164" fontId="9" fillId="0" borderId="1" xfId="0" applyNumberFormat="1" applyFont="1" applyFill="1" applyBorder="1"/>
    <xf numFmtId="0" fontId="9" fillId="0" borderId="1" xfId="0" applyFont="1" applyFill="1" applyBorder="1" applyAlignment="1">
      <alignment horizontal="right"/>
    </xf>
    <xf numFmtId="49" fontId="9" fillId="0" borderId="6" xfId="0" applyNumberFormat="1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/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vertical="top" wrapText="1"/>
    </xf>
    <xf numFmtId="165" fontId="0" fillId="0" borderId="0" xfId="0" applyNumberFormat="1" applyFont="1" applyFill="1"/>
    <xf numFmtId="0" fontId="9" fillId="0" borderId="8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wrapText="1"/>
    </xf>
    <xf numFmtId="0" fontId="14" fillId="0" borderId="0" xfId="0" applyNumberFormat="1" applyFont="1" applyFill="1" applyAlignment="1">
      <alignment horizontal="left" wrapText="1"/>
    </xf>
    <xf numFmtId="0" fontId="4" fillId="0" borderId="0" xfId="0" applyNumberFormat="1" applyFont="1" applyFill="1" applyAlignment="1">
      <alignment horizontal="left" wrapText="1"/>
    </xf>
    <xf numFmtId="2" fontId="9" fillId="0" borderId="1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top" wrapText="1"/>
    </xf>
    <xf numFmtId="0" fontId="19" fillId="0" borderId="6" xfId="0" applyFont="1" applyFill="1" applyBorder="1" applyAlignment="1">
      <alignment wrapText="1"/>
    </xf>
    <xf numFmtId="0" fontId="19" fillId="0" borderId="6" xfId="0" applyFont="1" applyFill="1" applyBorder="1" applyAlignment="1">
      <alignment vertical="top" wrapText="1"/>
    </xf>
    <xf numFmtId="49" fontId="8" fillId="0" borderId="0" xfId="0" applyNumberFormat="1" applyFont="1" applyFill="1" applyBorder="1" applyAlignment="1">
      <alignment horizontal="left" wrapText="1"/>
    </xf>
    <xf numFmtId="49" fontId="8" fillId="0" borderId="0" xfId="0" applyNumberFormat="1" applyFont="1" applyFill="1" applyBorder="1" applyAlignment="1">
      <alignment horizontal="right" wrapText="1"/>
    </xf>
    <xf numFmtId="0" fontId="20" fillId="0" borderId="0" xfId="0" applyFont="1" applyFill="1"/>
    <xf numFmtId="164" fontId="0" fillId="0" borderId="1" xfId="0" applyNumberFormat="1" applyFont="1" applyFill="1" applyBorder="1"/>
    <xf numFmtId="0" fontId="9" fillId="0" borderId="2" xfId="0" applyFont="1" applyFill="1" applyBorder="1" applyAlignment="1">
      <alignment horizontal="left" vertical="center"/>
    </xf>
    <xf numFmtId="0" fontId="9" fillId="0" borderId="0" xfId="0" applyFont="1" applyFill="1"/>
    <xf numFmtId="0" fontId="19" fillId="2" borderId="10" xfId="0" applyFont="1" applyFill="1" applyBorder="1" applyAlignment="1">
      <alignment wrapText="1"/>
    </xf>
    <xf numFmtId="0" fontId="19" fillId="2" borderId="1" xfId="0" applyFont="1" applyFill="1" applyBorder="1" applyAlignment="1">
      <alignment horizontal="justify" vertical="top" wrapText="1"/>
    </xf>
    <xf numFmtId="0" fontId="19" fillId="2" borderId="6" xfId="0" applyFont="1" applyFill="1" applyBorder="1" applyAlignment="1">
      <alignment wrapText="1"/>
    </xf>
    <xf numFmtId="0" fontId="19" fillId="2" borderId="1" xfId="0" applyNumberFormat="1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right" wrapText="1"/>
    </xf>
    <xf numFmtId="49" fontId="0" fillId="0" borderId="0" xfId="0" applyNumberFormat="1" applyFont="1" applyFill="1"/>
    <xf numFmtId="0" fontId="22" fillId="0" borderId="0" xfId="0" applyFont="1" applyFill="1"/>
    <xf numFmtId="49" fontId="9" fillId="0" borderId="1" xfId="0" applyNumberFormat="1" applyFont="1" applyFill="1" applyBorder="1" applyAlignment="1">
      <alignment horizontal="left"/>
    </xf>
    <xf numFmtId="0" fontId="0" fillId="0" borderId="1" xfId="0" applyFont="1" applyFill="1" applyBorder="1"/>
    <xf numFmtId="0" fontId="9" fillId="0" borderId="9" xfId="0" applyFont="1" applyFill="1" applyBorder="1" applyAlignment="1">
      <alignment vertical="center"/>
    </xf>
    <xf numFmtId="164" fontId="11" fillId="0" borderId="1" xfId="0" applyNumberFormat="1" applyFont="1" applyFill="1" applyBorder="1" applyAlignment="1">
      <alignment vertical="center"/>
    </xf>
    <xf numFmtId="164" fontId="11" fillId="0" borderId="2" xfId="0" applyNumberFormat="1" applyFont="1" applyFill="1" applyBorder="1" applyAlignment="1">
      <alignment vertical="center"/>
    </xf>
    <xf numFmtId="164" fontId="11" fillId="0" borderId="9" xfId="0" applyNumberFormat="1" applyFont="1" applyFill="1" applyBorder="1" applyAlignment="1">
      <alignment vertical="center"/>
    </xf>
    <xf numFmtId="164" fontId="0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164" fontId="12" fillId="0" borderId="1" xfId="0" applyNumberFormat="1" applyFont="1" applyFill="1" applyBorder="1" applyAlignment="1">
      <alignment horizontal="right" vertical="center"/>
    </xf>
    <xf numFmtId="164" fontId="12" fillId="0" borderId="1" xfId="0" applyNumberFormat="1" applyFont="1" applyFill="1" applyBorder="1" applyAlignment="1">
      <alignment vertical="center"/>
    </xf>
    <xf numFmtId="0" fontId="25" fillId="0" borderId="0" xfId="0" applyFont="1" applyFill="1"/>
    <xf numFmtId="49" fontId="26" fillId="0" borderId="0" xfId="0" applyNumberFormat="1" applyFont="1" applyFill="1" applyBorder="1"/>
    <xf numFmtId="49" fontId="26" fillId="0" borderId="0" xfId="0" applyNumberFormat="1" applyFont="1" applyFill="1" applyBorder="1" applyAlignment="1">
      <alignment horizontal="center"/>
    </xf>
    <xf numFmtId="0" fontId="26" fillId="0" borderId="0" xfId="0" applyFont="1" applyFill="1" applyBorder="1"/>
    <xf numFmtId="164" fontId="26" fillId="0" borderId="0" xfId="0" applyNumberFormat="1" applyFont="1" applyFill="1" applyBorder="1"/>
    <xf numFmtId="164" fontId="25" fillId="0" borderId="0" xfId="0" applyNumberFormat="1" applyFont="1" applyFill="1"/>
    <xf numFmtId="2" fontId="28" fillId="0" borderId="0" xfId="0" applyNumberFormat="1" applyFont="1" applyFill="1" applyBorder="1" applyAlignment="1">
      <alignment horizontal="left" wrapText="1"/>
    </xf>
    <xf numFmtId="164" fontId="27" fillId="0" borderId="0" xfId="0" applyNumberFormat="1" applyFont="1" applyFill="1" applyBorder="1" applyAlignment="1">
      <alignment horizontal="right" wrapText="1"/>
    </xf>
    <xf numFmtId="0" fontId="29" fillId="0" borderId="0" xfId="0" applyFont="1" applyFill="1"/>
    <xf numFmtId="164" fontId="29" fillId="0" borderId="0" xfId="0" applyNumberFormat="1" applyFont="1" applyFill="1"/>
    <xf numFmtId="165" fontId="25" fillId="0" borderId="0" xfId="0" applyNumberFormat="1" applyFont="1" applyFill="1"/>
    <xf numFmtId="0" fontId="30" fillId="0" borderId="0" xfId="0" applyFont="1" applyFill="1"/>
    <xf numFmtId="49" fontId="8" fillId="0" borderId="17" xfId="0" applyNumberFormat="1" applyFont="1" applyFill="1" applyBorder="1" applyAlignment="1">
      <alignment horizontal="left" wrapText="1"/>
    </xf>
    <xf numFmtId="0" fontId="27" fillId="0" borderId="1" xfId="0" applyFont="1" applyFill="1" applyBorder="1" applyAlignment="1">
      <alignment horizontal="left" vertical="center" wrapText="1"/>
    </xf>
    <xf numFmtId="164" fontId="27" fillId="0" borderId="1" xfId="0" applyNumberFormat="1" applyFont="1" applyFill="1" applyBorder="1" applyAlignment="1">
      <alignment vertical="center"/>
    </xf>
    <xf numFmtId="0" fontId="26" fillId="0" borderId="9" xfId="0" applyFont="1" applyFill="1" applyBorder="1" applyAlignment="1">
      <alignment horizontal="left"/>
    </xf>
    <xf numFmtId="164" fontId="26" fillId="0" borderId="18" xfId="0" applyNumberFormat="1" applyFont="1" applyFill="1" applyBorder="1" applyAlignment="1">
      <alignment horizontal="right" vertical="center"/>
    </xf>
    <xf numFmtId="164" fontId="26" fillId="0" borderId="1" xfId="0" applyNumberFormat="1" applyFont="1" applyFill="1" applyBorder="1" applyAlignment="1">
      <alignment vertical="center"/>
    </xf>
    <xf numFmtId="49" fontId="26" fillId="0" borderId="1" xfId="0" applyNumberFormat="1" applyFont="1" applyFill="1" applyBorder="1"/>
    <xf numFmtId="0" fontId="26" fillId="0" borderId="1" xfId="0" applyFont="1" applyFill="1" applyBorder="1"/>
    <xf numFmtId="164" fontId="26" fillId="0" borderId="1" xfId="0" applyNumberFormat="1" applyFont="1" applyFill="1" applyBorder="1"/>
    <xf numFmtId="0" fontId="25" fillId="0" borderId="0" xfId="0" applyFont="1" applyFill="1" applyAlignment="1">
      <alignment vertical="center"/>
    </xf>
    <xf numFmtId="0" fontId="6" fillId="0" borderId="1" xfId="0" applyFont="1" applyFill="1" applyBorder="1"/>
    <xf numFmtId="164" fontId="6" fillId="0" borderId="1" xfId="0" applyNumberFormat="1" applyFont="1" applyFill="1" applyBorder="1"/>
    <xf numFmtId="166" fontId="25" fillId="0" borderId="0" xfId="0" applyNumberFormat="1" applyFont="1" applyFill="1"/>
    <xf numFmtId="0" fontId="31" fillId="0" borderId="0" xfId="0" applyFont="1" applyFill="1"/>
    <xf numFmtId="0" fontId="32" fillId="0" borderId="0" xfId="0" applyFont="1" applyFill="1"/>
    <xf numFmtId="167" fontId="25" fillId="0" borderId="0" xfId="0" applyNumberFormat="1" applyFont="1" applyFill="1"/>
    <xf numFmtId="0" fontId="33" fillId="0" borderId="0" xfId="0" applyFont="1" applyFill="1"/>
    <xf numFmtId="0" fontId="27" fillId="0" borderId="0" xfId="0" applyNumberFormat="1" applyFont="1" applyFill="1" applyAlignment="1">
      <alignment horizontal="left" wrapText="1"/>
    </xf>
    <xf numFmtId="0" fontId="23" fillId="0" borderId="0" xfId="0" applyNumberFormat="1" applyFont="1" applyFill="1" applyAlignment="1">
      <alignment horizontal="left" wrapText="1"/>
    </xf>
    <xf numFmtId="0" fontId="27" fillId="0" borderId="0" xfId="0" applyNumberFormat="1" applyFont="1" applyFill="1" applyBorder="1" applyAlignment="1">
      <alignment horizontal="left" vertical="top" wrapText="1"/>
    </xf>
    <xf numFmtId="0" fontId="34" fillId="0" borderId="0" xfId="0" applyFont="1"/>
    <xf numFmtId="0" fontId="27" fillId="0" borderId="0" xfId="0" applyFont="1"/>
    <xf numFmtId="164" fontId="27" fillId="0" borderId="18" xfId="0" applyNumberFormat="1" applyFont="1" applyFill="1" applyBorder="1" applyAlignment="1">
      <alignment horizontal="right" vertical="top"/>
    </xf>
    <xf numFmtId="49" fontId="4" fillId="0" borderId="1" xfId="0" applyNumberFormat="1" applyFont="1" applyFill="1" applyBorder="1" applyAlignment="1">
      <alignment horizontal="left"/>
    </xf>
    <xf numFmtId="164" fontId="27" fillId="0" borderId="1" xfId="0" applyNumberFormat="1" applyFont="1" applyFill="1" applyBorder="1" applyAlignment="1">
      <alignment horizontal="right"/>
    </xf>
    <xf numFmtId="49" fontId="4" fillId="0" borderId="17" xfId="0" applyNumberFormat="1" applyFont="1" applyFill="1" applyBorder="1" applyAlignment="1">
      <alignment horizontal="left"/>
    </xf>
    <xf numFmtId="49" fontId="4" fillId="0" borderId="7" xfId="0" applyNumberFormat="1" applyFont="1" applyFill="1" applyBorder="1" applyAlignment="1">
      <alignment horizontal="left"/>
    </xf>
    <xf numFmtId="0" fontId="36" fillId="0" borderId="0" xfId="0" applyFont="1" applyFill="1"/>
    <xf numFmtId="0" fontId="4" fillId="0" borderId="1" xfId="0" applyFont="1" applyFill="1" applyBorder="1" applyAlignment="1">
      <alignment vertical="center"/>
    </xf>
    <xf numFmtId="164" fontId="27" fillId="0" borderId="1" xfId="0" applyNumberFormat="1" applyFont="1" applyFill="1" applyBorder="1"/>
    <xf numFmtId="164" fontId="4" fillId="0" borderId="1" xfId="0" applyNumberFormat="1" applyFont="1" applyFill="1" applyBorder="1" applyAlignment="1">
      <alignment vertical="center"/>
    </xf>
    <xf numFmtId="0" fontId="27" fillId="0" borderId="1" xfId="0" applyFont="1" applyFill="1" applyBorder="1" applyAlignment="1">
      <alignment vertical="top" wrapText="1"/>
    </xf>
    <xf numFmtId="16" fontId="27" fillId="0" borderId="0" xfId="0" applyNumberFormat="1" applyFont="1" applyFill="1" applyBorder="1" applyAlignment="1">
      <alignment wrapText="1"/>
    </xf>
    <xf numFmtId="0" fontId="27" fillId="0" borderId="0" xfId="0" applyFont="1" applyFill="1" applyAlignment="1">
      <alignment vertical="top" wrapText="1"/>
    </xf>
    <xf numFmtId="0" fontId="27" fillId="0" borderId="1" xfId="0" applyFont="1" applyFill="1" applyBorder="1" applyAlignment="1">
      <alignment vertical="justify"/>
    </xf>
    <xf numFmtId="164" fontId="27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justify"/>
    </xf>
    <xf numFmtId="0" fontId="9" fillId="0" borderId="1" xfId="0" applyFont="1" applyFill="1" applyBorder="1" applyAlignment="1">
      <alignment horizontal="left" vertical="top" wrapText="1"/>
    </xf>
    <xf numFmtId="0" fontId="24" fillId="0" borderId="1" xfId="0" applyFont="1" applyFill="1" applyBorder="1" applyAlignment="1">
      <alignment vertical="justify"/>
    </xf>
    <xf numFmtId="164" fontId="24" fillId="0" borderId="1" xfId="2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vertical="justify"/>
    </xf>
    <xf numFmtId="164" fontId="27" fillId="0" borderId="0" xfId="0" applyNumberFormat="1" applyFont="1" applyFill="1" applyBorder="1" applyAlignment="1">
      <alignment horizontal="center" vertical="center" wrapText="1"/>
    </xf>
    <xf numFmtId="164" fontId="24" fillId="0" borderId="0" xfId="2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9" fontId="27" fillId="0" borderId="0" xfId="0" applyNumberFormat="1" applyFont="1" applyFill="1" applyBorder="1" applyAlignment="1">
      <alignment horizontal="left" wrapText="1"/>
    </xf>
    <xf numFmtId="0" fontId="27" fillId="0" borderId="11" xfId="0" applyFont="1" applyFill="1" applyBorder="1" applyAlignment="1">
      <alignment horizontal="left" vertical="top" wrapText="1"/>
    </xf>
    <xf numFmtId="0" fontId="27" fillId="0" borderId="7" xfId="0" applyFont="1" applyFill="1" applyBorder="1" applyAlignment="1">
      <alignment horizontal="left" vertical="top" wrapText="1"/>
    </xf>
    <xf numFmtId="0" fontId="27" fillId="0" borderId="8" xfId="0" applyFont="1" applyFill="1" applyBorder="1" applyAlignment="1">
      <alignment horizontal="center" vertical="center"/>
    </xf>
    <xf numFmtId="0" fontId="23" fillId="0" borderId="0" xfId="0" applyNumberFormat="1" applyFont="1" applyFill="1" applyAlignment="1">
      <alignment horizontal="left" wrapText="1"/>
    </xf>
    <xf numFmtId="0" fontId="24" fillId="0" borderId="2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164" fontId="27" fillId="0" borderId="2" xfId="0" applyNumberFormat="1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left" wrapText="1"/>
    </xf>
    <xf numFmtId="0" fontId="27" fillId="0" borderId="0" xfId="0" applyFont="1" applyFill="1" applyAlignment="1">
      <alignment horizontal="left" vertical="top" wrapText="1"/>
    </xf>
    <xf numFmtId="0" fontId="27" fillId="0" borderId="0" xfId="0" applyNumberFormat="1" applyFont="1" applyFill="1" applyAlignment="1">
      <alignment horizontal="left" wrapText="1"/>
    </xf>
    <xf numFmtId="0" fontId="24" fillId="0" borderId="9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wrapText="1"/>
    </xf>
    <xf numFmtId="0" fontId="29" fillId="0" borderId="1" xfId="0" applyFont="1" applyFill="1" applyBorder="1" applyAlignment="1">
      <alignment horizontal="right" wrapText="1"/>
    </xf>
    <xf numFmtId="0" fontId="24" fillId="0" borderId="0" xfId="0" applyFont="1" applyFill="1" applyBorder="1" applyAlignment="1">
      <alignment horizontal="left" vertical="center"/>
    </xf>
    <xf numFmtId="2" fontId="29" fillId="0" borderId="0" xfId="2" applyNumberFormat="1" applyFont="1" applyFill="1"/>
    <xf numFmtId="16" fontId="27" fillId="0" borderId="0" xfId="0" applyNumberFormat="1" applyFont="1" applyFill="1" applyBorder="1" applyAlignment="1">
      <alignment horizontal="left" wrapText="1"/>
    </xf>
    <xf numFmtId="2" fontId="29" fillId="0" borderId="0" xfId="2" applyNumberFormat="1" applyFont="1" applyFill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center"/>
    </xf>
    <xf numFmtId="0" fontId="27" fillId="0" borderId="1" xfId="0" applyFont="1" applyFill="1" applyBorder="1" applyAlignment="1">
      <alignment wrapText="1"/>
    </xf>
    <xf numFmtId="0" fontId="27" fillId="0" borderId="2" xfId="0" applyFont="1" applyFill="1" applyBorder="1" applyAlignment="1">
      <alignment vertical="top" wrapText="1"/>
    </xf>
    <xf numFmtId="16" fontId="6" fillId="0" borderId="0" xfId="0" applyNumberFormat="1" applyFont="1" applyFill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left"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top" wrapText="1"/>
    </xf>
    <xf numFmtId="16" fontId="4" fillId="0" borderId="0" xfId="0" applyNumberFormat="1" applyFont="1" applyFill="1" applyBorder="1" applyAlignment="1">
      <alignment horizontal="left" vertical="top" wrapText="1"/>
    </xf>
    <xf numFmtId="16" fontId="4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center" wrapText="1"/>
    </xf>
    <xf numFmtId="2" fontId="4" fillId="0" borderId="0" xfId="0" applyNumberFormat="1" applyFont="1" applyFill="1" applyBorder="1" applyAlignment="1">
      <alignment horizontal="left" vertical="top" wrapText="1"/>
    </xf>
    <xf numFmtId="49" fontId="4" fillId="0" borderId="0" xfId="0" applyNumberFormat="1" applyFont="1" applyFill="1" applyBorder="1" applyAlignment="1">
      <alignment horizontal="left" wrapText="1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7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/>
    </xf>
    <xf numFmtId="0" fontId="14" fillId="0" borderId="0" xfId="0" applyNumberFormat="1" applyFont="1" applyFill="1" applyAlignment="1">
      <alignment horizontal="left" wrapText="1"/>
    </xf>
    <xf numFmtId="0" fontId="4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left" wrapText="1"/>
    </xf>
    <xf numFmtId="0" fontId="17" fillId="0" borderId="0" xfId="0" applyNumberFormat="1" applyFont="1" applyFill="1" applyAlignment="1">
      <alignment horizontal="left" wrapText="1"/>
    </xf>
    <xf numFmtId="49" fontId="9" fillId="0" borderId="6" xfId="0" applyNumberFormat="1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/>
    </xf>
    <xf numFmtId="49" fontId="9" fillId="0" borderId="7" xfId="0" applyNumberFormat="1" applyFont="1" applyFill="1" applyBorder="1" applyAlignment="1">
      <alignment horizontal="center"/>
    </xf>
    <xf numFmtId="0" fontId="11" fillId="0" borderId="10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15" xfId="0" applyFont="1" applyFill="1" applyBorder="1" applyAlignment="1">
      <alignment horizontal="left" vertical="top" wrapText="1"/>
    </xf>
    <xf numFmtId="0" fontId="11" fillId="0" borderId="16" xfId="0" applyFont="1" applyFill="1" applyBorder="1" applyAlignment="1">
      <alignment horizontal="left" vertical="top" wrapText="1"/>
    </xf>
    <xf numFmtId="0" fontId="11" fillId="0" borderId="17" xfId="0" applyFont="1" applyFill="1" applyBorder="1" applyAlignment="1">
      <alignment horizontal="left" vertical="top" wrapText="1"/>
    </xf>
    <xf numFmtId="0" fontId="11" fillId="0" borderId="18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left" vertical="top" wrapText="1"/>
    </xf>
    <xf numFmtId="0" fontId="11" fillId="0" borderId="11" xfId="0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/>
    </xf>
    <xf numFmtId="0" fontId="10" fillId="0" borderId="11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  <xf numFmtId="164" fontId="11" fillId="0" borderId="2" xfId="0" applyNumberFormat="1" applyFont="1" applyFill="1" applyBorder="1" applyAlignment="1">
      <alignment vertical="center"/>
    </xf>
    <xf numFmtId="164" fontId="11" fillId="0" borderId="8" xfId="0" applyNumberFormat="1" applyFont="1" applyFill="1" applyBorder="1" applyAlignment="1">
      <alignment vertical="center"/>
    </xf>
    <xf numFmtId="164" fontId="11" fillId="0" borderId="9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 wrapText="1"/>
    </xf>
    <xf numFmtId="164" fontId="1" fillId="0" borderId="0" xfId="0" applyNumberFormat="1" applyFont="1" applyFill="1" applyAlignment="1">
      <alignment horizontal="right" wrapText="1"/>
    </xf>
    <xf numFmtId="0" fontId="24" fillId="0" borderId="17" xfId="0" applyNumberFormat="1" applyFont="1" applyFill="1" applyBorder="1" applyAlignment="1">
      <alignment horizontal="left" wrapText="1"/>
    </xf>
    <xf numFmtId="0" fontId="27" fillId="0" borderId="0" xfId="0" applyNumberFormat="1" applyFont="1" applyFill="1" applyAlignment="1">
      <alignment horizontal="left" wrapText="1"/>
    </xf>
    <xf numFmtId="0" fontId="27" fillId="0" borderId="0" xfId="0" applyFont="1" applyFill="1" applyBorder="1" applyAlignment="1">
      <alignment horizontal="left" wrapText="1"/>
    </xf>
    <xf numFmtId="0" fontId="27" fillId="0" borderId="1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left" vertical="top" wrapText="1"/>
    </xf>
    <xf numFmtId="0" fontId="27" fillId="0" borderId="7" xfId="0" applyFont="1" applyFill="1" applyBorder="1" applyAlignment="1">
      <alignment horizontal="left" vertical="top" wrapText="1"/>
    </xf>
    <xf numFmtId="0" fontId="27" fillId="0" borderId="2" xfId="0" applyFont="1" applyFill="1" applyBorder="1" applyAlignment="1">
      <alignment horizontal="center" vertical="top" wrapText="1"/>
    </xf>
    <xf numFmtId="0" fontId="27" fillId="0" borderId="8" xfId="0" applyFont="1" applyFill="1" applyBorder="1" applyAlignment="1">
      <alignment horizontal="center" vertical="top" wrapText="1"/>
    </xf>
    <xf numFmtId="0" fontId="27" fillId="0" borderId="9" xfId="0" applyFont="1" applyFill="1" applyBorder="1" applyAlignment="1">
      <alignment horizontal="center" vertical="top" wrapText="1"/>
    </xf>
    <xf numFmtId="49" fontId="27" fillId="0" borderId="0" xfId="0" applyNumberFormat="1" applyFont="1" applyFill="1" applyBorder="1" applyAlignment="1">
      <alignment horizontal="left" wrapText="1"/>
    </xf>
    <xf numFmtId="0" fontId="27" fillId="0" borderId="2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3" fillId="0" borderId="0" xfId="0" applyNumberFormat="1" applyFont="1" applyFill="1" applyAlignment="1">
      <alignment horizontal="left" wrapText="1"/>
    </xf>
    <xf numFmtId="0" fontId="24" fillId="0" borderId="6" xfId="0" applyFont="1" applyFill="1" applyBorder="1" applyAlignment="1">
      <alignment horizontal="center"/>
    </xf>
    <xf numFmtId="0" fontId="24" fillId="0" borderId="11" xfId="0" applyFont="1" applyFill="1" applyBorder="1" applyAlignment="1">
      <alignment horizontal="center"/>
    </xf>
    <xf numFmtId="0" fontId="24" fillId="0" borderId="7" xfId="0" applyFont="1" applyFill="1" applyBorder="1" applyAlignment="1">
      <alignment horizontal="center"/>
    </xf>
    <xf numFmtId="0" fontId="4" fillId="0" borderId="6" xfId="0" applyNumberFormat="1" applyFont="1" applyFill="1" applyBorder="1" applyAlignment="1">
      <alignment horizontal="left" vertical="center"/>
    </xf>
    <xf numFmtId="0" fontId="4" fillId="0" borderId="7" xfId="0" applyNumberFormat="1" applyFont="1" applyFill="1" applyBorder="1" applyAlignment="1">
      <alignment horizontal="left" vertical="center"/>
    </xf>
    <xf numFmtId="0" fontId="27" fillId="0" borderId="19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164" fontId="27" fillId="0" borderId="0" xfId="0" applyNumberFormat="1" applyFont="1" applyFill="1" applyAlignment="1">
      <alignment horizontal="right" wrapText="1"/>
    </xf>
    <xf numFmtId="49" fontId="26" fillId="0" borderId="1" xfId="0" applyNumberFormat="1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left"/>
    </xf>
    <xf numFmtId="164" fontId="27" fillId="0" borderId="2" xfId="0" applyNumberFormat="1" applyFont="1" applyFill="1" applyBorder="1" applyAlignment="1">
      <alignment horizontal="right" vertical="center"/>
    </xf>
    <xf numFmtId="164" fontId="27" fillId="0" borderId="8" xfId="0" applyNumberFormat="1" applyFont="1" applyFill="1" applyBorder="1" applyAlignment="1">
      <alignment horizontal="right" vertical="center"/>
    </xf>
    <xf numFmtId="164" fontId="27" fillId="0" borderId="9" xfId="0" applyNumberFormat="1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left" vertical="top" wrapText="1"/>
    </xf>
    <xf numFmtId="0" fontId="27" fillId="0" borderId="0" xfId="0" applyFont="1" applyFill="1" applyAlignment="1">
      <alignment horizontal="left" wrapText="1"/>
    </xf>
    <xf numFmtId="164" fontId="27" fillId="0" borderId="1" xfId="0" applyNumberFormat="1" applyFont="1" applyFill="1" applyBorder="1" applyAlignment="1">
      <alignment horizontal="right" vertical="top"/>
    </xf>
    <xf numFmtId="0" fontId="24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 vertical="top" wrapText="1"/>
    </xf>
    <xf numFmtId="0" fontId="27" fillId="0" borderId="0" xfId="0" applyFont="1" applyFill="1" applyAlignment="1">
      <alignment horizontal="left" vertical="top" wrapText="1"/>
    </xf>
    <xf numFmtId="16" fontId="27" fillId="0" borderId="0" xfId="0" applyNumberFormat="1" applyFont="1" applyFill="1" applyBorder="1" applyAlignment="1">
      <alignment horizontal="left" wrapText="1"/>
    </xf>
    <xf numFmtId="0" fontId="27" fillId="0" borderId="0" xfId="0" applyFont="1" applyFill="1" applyBorder="1" applyAlignment="1">
      <alignment horizontal="left" vertical="justify" wrapText="1"/>
    </xf>
    <xf numFmtId="0" fontId="24" fillId="0" borderId="17" xfId="0" applyFont="1" applyFill="1" applyBorder="1" applyAlignment="1">
      <alignment horizontal="left" vertical="center"/>
    </xf>
    <xf numFmtId="164" fontId="27" fillId="0" borderId="6" xfId="0" applyNumberFormat="1" applyFont="1" applyFill="1" applyBorder="1" applyAlignment="1">
      <alignment horizontal="center" vertical="center" wrapText="1"/>
    </xf>
    <xf numFmtId="164" fontId="27" fillId="0" borderId="7" xfId="0" applyNumberFormat="1" applyFont="1" applyFill="1" applyBorder="1" applyAlignment="1">
      <alignment horizontal="center" vertical="center" wrapText="1"/>
    </xf>
    <xf numFmtId="16" fontId="27" fillId="0" borderId="0" xfId="0" applyNumberFormat="1" applyFont="1" applyFill="1" applyBorder="1" applyAlignment="1">
      <alignment horizontal="left" vertical="top" wrapText="1"/>
    </xf>
    <xf numFmtId="16" fontId="24" fillId="0" borderId="0" xfId="0" applyNumberFormat="1" applyFont="1" applyFill="1" applyBorder="1" applyAlignment="1">
      <alignment horizontal="left" wrapText="1"/>
    </xf>
    <xf numFmtId="164" fontId="27" fillId="0" borderId="1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left" wrapText="1"/>
    </xf>
    <xf numFmtId="0" fontId="24" fillId="0" borderId="9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wrapText="1"/>
    </xf>
    <xf numFmtId="49" fontId="27" fillId="0" borderId="0" xfId="0" applyNumberFormat="1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 wrapText="1"/>
    </xf>
    <xf numFmtId="0" fontId="27" fillId="0" borderId="8" xfId="0" applyFont="1" applyFill="1" applyBorder="1" applyAlignment="1">
      <alignment horizontal="center" wrapText="1"/>
    </xf>
    <xf numFmtId="0" fontId="27" fillId="0" borderId="9" xfId="0" applyFont="1" applyFill="1" applyBorder="1" applyAlignment="1">
      <alignment horizontal="center" wrapText="1"/>
    </xf>
    <xf numFmtId="0" fontId="27" fillId="0" borderId="0" xfId="0" applyFont="1" applyFill="1" applyAlignment="1">
      <alignment horizontal="left"/>
    </xf>
    <xf numFmtId="0" fontId="27" fillId="0" borderId="0" xfId="0" applyFont="1" applyAlignment="1">
      <alignment horizontal="left" wrapText="1"/>
    </xf>
    <xf numFmtId="0" fontId="24" fillId="0" borderId="0" xfId="0" applyNumberFormat="1" applyFont="1" applyFill="1" applyBorder="1" applyAlignment="1">
      <alignment horizontal="left" wrapText="1"/>
    </xf>
    <xf numFmtId="0" fontId="35" fillId="0" borderId="0" xfId="0" applyFont="1" applyAlignment="1">
      <alignment horizontal="center"/>
    </xf>
    <xf numFmtId="0" fontId="27" fillId="0" borderId="0" xfId="0" applyNumberFormat="1" applyFont="1" applyFill="1" applyBorder="1" applyAlignment="1">
      <alignment horizontal="left" vertical="top" wrapText="1"/>
    </xf>
  </cellXfs>
  <cellStyles count="3">
    <cellStyle name="Обычный" xfId="0" builtinId="0"/>
    <cellStyle name="Процентный 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N231"/>
  <sheetViews>
    <sheetView topLeftCell="A22" zoomScale="90" zoomScaleNormal="90" zoomScaleSheetLayoutView="75" workbookViewId="0">
      <selection activeCell="I34" sqref="I34"/>
    </sheetView>
  </sheetViews>
  <sheetFormatPr defaultColWidth="9.140625" defaultRowHeight="12.75" x14ac:dyDescent="0.2"/>
  <cols>
    <col min="1" max="1" width="35.85546875" style="5" customWidth="1"/>
    <col min="2" max="2" width="12.28515625" style="5" customWidth="1"/>
    <col min="3" max="3" width="14.5703125" style="5" customWidth="1"/>
    <col min="4" max="4" width="12.7109375" style="5" customWidth="1"/>
    <col min="5" max="5" width="16.42578125" style="5" customWidth="1"/>
    <col min="6" max="6" width="23" style="5" customWidth="1"/>
    <col min="7" max="8" width="9.5703125" style="5" customWidth="1"/>
    <col min="9" max="9" width="9.140625" style="5" customWidth="1"/>
    <col min="10" max="10" width="9.5703125" style="5" customWidth="1"/>
    <col min="11" max="12" width="9.140625" style="5" customWidth="1"/>
    <col min="13" max="13" width="13.140625" style="5" customWidth="1"/>
    <col min="14" max="14" width="9.140625" style="5" customWidth="1"/>
    <col min="15" max="16384" width="9.140625" style="5"/>
  </cols>
  <sheetData>
    <row r="1" spans="1:8" ht="19.5" customHeight="1" x14ac:dyDescent="0.25">
      <c r="A1" s="162" t="s">
        <v>0</v>
      </c>
      <c r="B1" s="162"/>
      <c r="C1" s="162"/>
      <c r="D1" s="162"/>
      <c r="E1" s="162"/>
      <c r="F1" s="162"/>
    </row>
    <row r="2" spans="1:8" ht="66.75" customHeight="1" x14ac:dyDescent="0.2">
      <c r="A2" s="163" t="s">
        <v>79</v>
      </c>
      <c r="B2" s="163"/>
      <c r="C2" s="163"/>
      <c r="D2" s="163"/>
      <c r="E2" s="163"/>
      <c r="F2" s="163"/>
    </row>
    <row r="3" spans="1:8" ht="15.75" customHeight="1" x14ac:dyDescent="0.3">
      <c r="A3" s="159" t="s">
        <v>90</v>
      </c>
      <c r="B3" s="159"/>
      <c r="C3" s="159"/>
      <c r="D3" s="159"/>
      <c r="E3" s="159"/>
      <c r="F3" s="159"/>
      <c r="G3" s="6"/>
      <c r="H3" s="6"/>
    </row>
    <row r="4" spans="1:8" ht="65.25" customHeight="1" x14ac:dyDescent="0.3">
      <c r="A4" s="164" t="s">
        <v>222</v>
      </c>
      <c r="B4" s="164"/>
      <c r="C4" s="164"/>
      <c r="D4" s="164"/>
      <c r="E4" s="164"/>
      <c r="F4" s="164"/>
      <c r="G4" s="6"/>
      <c r="H4" s="6"/>
    </row>
    <row r="5" spans="1:8" ht="18.75" customHeight="1" x14ac:dyDescent="0.3">
      <c r="A5" s="165" t="s">
        <v>233</v>
      </c>
      <c r="B5" s="165"/>
      <c r="C5" s="165"/>
      <c r="D5" s="165"/>
      <c r="E5" s="165"/>
      <c r="F5" s="165"/>
      <c r="G5" s="6"/>
      <c r="H5" s="6"/>
    </row>
    <row r="6" spans="1:8" ht="18.75" customHeight="1" x14ac:dyDescent="0.3">
      <c r="A6" s="165" t="s">
        <v>234</v>
      </c>
      <c r="B6" s="165"/>
      <c r="C6" s="165"/>
      <c r="D6" s="165"/>
      <c r="E6" s="165"/>
      <c r="F6" s="165"/>
      <c r="G6" s="6"/>
      <c r="H6" s="6"/>
    </row>
    <row r="7" spans="1:8" ht="17.25" customHeight="1" x14ac:dyDescent="0.3">
      <c r="A7" s="165" t="s">
        <v>235</v>
      </c>
      <c r="B7" s="165"/>
      <c r="C7" s="165"/>
      <c r="D7" s="165"/>
      <c r="E7" s="165"/>
      <c r="F7" s="165"/>
      <c r="G7" s="6"/>
      <c r="H7" s="6"/>
    </row>
    <row r="8" spans="1:8" ht="15.75" customHeight="1" x14ac:dyDescent="0.3">
      <c r="A8" s="159" t="s">
        <v>236</v>
      </c>
      <c r="B8" s="159"/>
      <c r="C8" s="159"/>
      <c r="D8" s="159"/>
      <c r="E8" s="159"/>
      <c r="F8" s="159"/>
      <c r="G8" s="6"/>
      <c r="H8" s="6"/>
    </row>
    <row r="9" spans="1:8" ht="35.25" customHeight="1" x14ac:dyDescent="0.3">
      <c r="A9" s="166" t="s">
        <v>91</v>
      </c>
      <c r="B9" s="166"/>
      <c r="C9" s="166"/>
      <c r="D9" s="166"/>
      <c r="E9" s="166"/>
      <c r="F9" s="166"/>
      <c r="G9" s="6"/>
      <c r="H9" s="6"/>
    </row>
    <row r="10" spans="1:8" ht="33.75" customHeight="1" x14ac:dyDescent="0.3">
      <c r="A10" s="50" t="s">
        <v>15</v>
      </c>
      <c r="B10" s="51" t="s">
        <v>46</v>
      </c>
      <c r="C10" s="51" t="s">
        <v>205</v>
      </c>
      <c r="D10" s="51" t="s">
        <v>16</v>
      </c>
      <c r="E10" s="51" t="s">
        <v>17</v>
      </c>
      <c r="F10" s="51" t="s">
        <v>18</v>
      </c>
      <c r="G10" s="6"/>
      <c r="H10" s="6"/>
    </row>
    <row r="11" spans="1:8" ht="36" customHeight="1" x14ac:dyDescent="0.3">
      <c r="A11" s="52" t="s">
        <v>76</v>
      </c>
      <c r="B11" s="28">
        <v>490</v>
      </c>
      <c r="C11" s="28">
        <v>529.79999999999995</v>
      </c>
      <c r="D11" s="28">
        <v>530</v>
      </c>
      <c r="E11" s="28">
        <f t="shared" ref="E11:E24" si="0">D11-B11</f>
        <v>40</v>
      </c>
      <c r="F11" s="29" t="s">
        <v>206</v>
      </c>
      <c r="G11" s="6"/>
      <c r="H11" s="6"/>
    </row>
    <row r="12" spans="1:8" ht="60" customHeight="1" x14ac:dyDescent="0.3">
      <c r="A12" s="53" t="s">
        <v>48</v>
      </c>
      <c r="B12" s="28">
        <v>273</v>
      </c>
      <c r="C12" s="28">
        <v>535.5</v>
      </c>
      <c r="D12" s="28">
        <v>573</v>
      </c>
      <c r="E12" s="28">
        <f t="shared" si="0"/>
        <v>300</v>
      </c>
      <c r="F12" s="29" t="s">
        <v>207</v>
      </c>
      <c r="G12" s="6"/>
      <c r="H12" s="6"/>
    </row>
    <row r="13" spans="1:8" ht="46.5" customHeight="1" x14ac:dyDescent="0.3">
      <c r="A13" s="53" t="s">
        <v>47</v>
      </c>
      <c r="B13" s="28">
        <v>40</v>
      </c>
      <c r="C13" s="28">
        <v>70.599999999999994</v>
      </c>
      <c r="D13" s="28">
        <v>120</v>
      </c>
      <c r="E13" s="28">
        <f t="shared" si="0"/>
        <v>80</v>
      </c>
      <c r="F13" s="29" t="s">
        <v>208</v>
      </c>
      <c r="G13" s="6"/>
      <c r="H13" s="6"/>
    </row>
    <row r="14" spans="1:8" ht="90" customHeight="1" x14ac:dyDescent="0.3">
      <c r="A14" s="62" t="s">
        <v>209</v>
      </c>
      <c r="B14" s="28">
        <v>439</v>
      </c>
      <c r="C14" s="28">
        <v>25</v>
      </c>
      <c r="D14" s="28">
        <v>138</v>
      </c>
      <c r="E14" s="28">
        <f t="shared" si="0"/>
        <v>-301</v>
      </c>
      <c r="F14" s="29" t="s">
        <v>223</v>
      </c>
      <c r="G14" s="6"/>
      <c r="H14" s="6"/>
    </row>
    <row r="15" spans="1:8" ht="48" customHeight="1" x14ac:dyDescent="0.3">
      <c r="A15" s="54" t="s">
        <v>19</v>
      </c>
      <c r="B15" s="28">
        <v>298</v>
      </c>
      <c r="C15" s="28">
        <v>329.8</v>
      </c>
      <c r="D15" s="28">
        <v>398</v>
      </c>
      <c r="E15" s="28">
        <f t="shared" si="0"/>
        <v>100</v>
      </c>
      <c r="F15" s="29" t="s">
        <v>210</v>
      </c>
      <c r="G15" s="6"/>
      <c r="H15" s="6"/>
    </row>
    <row r="16" spans="1:8" ht="44.25" customHeight="1" x14ac:dyDescent="0.3">
      <c r="A16" s="54" t="s">
        <v>77</v>
      </c>
      <c r="B16" s="28">
        <v>7</v>
      </c>
      <c r="C16" s="28">
        <v>17.600000000000001</v>
      </c>
      <c r="D16" s="28">
        <v>22</v>
      </c>
      <c r="E16" s="28">
        <f t="shared" si="0"/>
        <v>15</v>
      </c>
      <c r="F16" s="29" t="s">
        <v>211</v>
      </c>
      <c r="G16" s="6"/>
      <c r="H16" s="6"/>
    </row>
    <row r="17" spans="1:8" ht="40.5" customHeight="1" x14ac:dyDescent="0.3">
      <c r="A17" s="54" t="s">
        <v>23</v>
      </c>
      <c r="B17" s="28">
        <v>1062</v>
      </c>
      <c r="C17" s="28">
        <v>1432.6</v>
      </c>
      <c r="D17" s="28">
        <v>1512</v>
      </c>
      <c r="E17" s="28">
        <f t="shared" si="0"/>
        <v>450</v>
      </c>
      <c r="F17" s="29" t="s">
        <v>212</v>
      </c>
      <c r="G17" s="6"/>
      <c r="H17" s="6"/>
    </row>
    <row r="18" spans="1:8" ht="75.75" customHeight="1" x14ac:dyDescent="0.3">
      <c r="A18" s="55" t="s">
        <v>78</v>
      </c>
      <c r="B18" s="28">
        <v>9714</v>
      </c>
      <c r="C18" s="28">
        <v>10459.200000000001</v>
      </c>
      <c r="D18" s="28">
        <v>11214</v>
      </c>
      <c r="E18" s="28">
        <f t="shared" si="0"/>
        <v>1500</v>
      </c>
      <c r="F18" s="29" t="s">
        <v>213</v>
      </c>
      <c r="G18" s="6"/>
      <c r="H18" s="6"/>
    </row>
    <row r="19" spans="1:8" ht="160.5" customHeight="1" x14ac:dyDescent="0.3">
      <c r="A19" s="63" t="s">
        <v>237</v>
      </c>
      <c r="B19" s="28">
        <v>160</v>
      </c>
      <c r="C19" s="28">
        <v>87.1</v>
      </c>
      <c r="D19" s="28">
        <v>158</v>
      </c>
      <c r="E19" s="28">
        <f t="shared" si="0"/>
        <v>-2</v>
      </c>
      <c r="F19" s="29" t="s">
        <v>214</v>
      </c>
      <c r="G19" s="6"/>
      <c r="H19" s="6"/>
    </row>
    <row r="20" spans="1:8" ht="78.75" customHeight="1" x14ac:dyDescent="0.3">
      <c r="A20" s="64" t="s">
        <v>215</v>
      </c>
      <c r="B20" s="28">
        <v>10</v>
      </c>
      <c r="C20" s="28">
        <v>11.5</v>
      </c>
      <c r="D20" s="28">
        <v>12</v>
      </c>
      <c r="E20" s="28">
        <f t="shared" si="0"/>
        <v>2</v>
      </c>
      <c r="F20" s="29" t="s">
        <v>216</v>
      </c>
      <c r="G20" s="6"/>
      <c r="H20" s="6"/>
    </row>
    <row r="21" spans="1:8" ht="90.75" customHeight="1" x14ac:dyDescent="0.3">
      <c r="A21" s="64" t="s">
        <v>49</v>
      </c>
      <c r="B21" s="28">
        <v>209</v>
      </c>
      <c r="C21" s="28">
        <v>225</v>
      </c>
      <c r="D21" s="28">
        <v>239</v>
      </c>
      <c r="E21" s="28">
        <f t="shared" si="0"/>
        <v>30</v>
      </c>
      <c r="F21" s="29" t="s">
        <v>217</v>
      </c>
      <c r="G21" s="6"/>
      <c r="H21" s="6"/>
    </row>
    <row r="22" spans="1:8" ht="76.5" customHeight="1" x14ac:dyDescent="0.3">
      <c r="A22" s="64" t="s">
        <v>219</v>
      </c>
      <c r="B22" s="28">
        <v>30</v>
      </c>
      <c r="C22" s="28">
        <v>35</v>
      </c>
      <c r="D22" s="28">
        <v>40</v>
      </c>
      <c r="E22" s="28">
        <f>D22-B22</f>
        <v>10</v>
      </c>
      <c r="F22" s="29" t="s">
        <v>220</v>
      </c>
      <c r="G22" s="6"/>
      <c r="H22" s="6"/>
    </row>
    <row r="23" spans="1:8" ht="105.75" customHeight="1" x14ac:dyDescent="0.3">
      <c r="A23" s="65" t="s">
        <v>24</v>
      </c>
      <c r="B23" s="28">
        <v>41</v>
      </c>
      <c r="C23" s="28">
        <v>82.8</v>
      </c>
      <c r="D23" s="28">
        <v>81</v>
      </c>
      <c r="E23" s="28">
        <f t="shared" si="0"/>
        <v>40</v>
      </c>
      <c r="F23" s="29" t="s">
        <v>218</v>
      </c>
      <c r="G23" s="6"/>
      <c r="H23" s="6"/>
    </row>
    <row r="24" spans="1:8" ht="63" customHeight="1" thickBot="1" x14ac:dyDescent="0.35">
      <c r="A24" s="54" t="s">
        <v>33</v>
      </c>
      <c r="B24" s="28">
        <v>4822</v>
      </c>
      <c r="C24" s="28">
        <v>1761.9</v>
      </c>
      <c r="D24" s="28">
        <v>4058</v>
      </c>
      <c r="E24" s="28">
        <f t="shared" si="0"/>
        <v>-764</v>
      </c>
      <c r="F24" s="29" t="s">
        <v>221</v>
      </c>
      <c r="G24" s="6"/>
      <c r="H24" s="6"/>
    </row>
    <row r="25" spans="1:8" ht="18" customHeight="1" thickBot="1" x14ac:dyDescent="0.35">
      <c r="A25" s="30" t="s">
        <v>6</v>
      </c>
      <c r="B25" s="22"/>
      <c r="C25" s="22"/>
      <c r="D25" s="22"/>
      <c r="E25" s="66">
        <f>SUM(E11:E24)</f>
        <v>1500</v>
      </c>
      <c r="F25" s="23"/>
      <c r="G25" s="6"/>
      <c r="H25" s="6"/>
    </row>
    <row r="26" spans="1:8" ht="15.75" customHeight="1" x14ac:dyDescent="0.3">
      <c r="A26" s="25"/>
      <c r="B26" s="25"/>
      <c r="C26" s="25"/>
      <c r="D26" s="25"/>
      <c r="E26" s="25"/>
      <c r="F26" s="25"/>
      <c r="G26" s="6"/>
      <c r="H26" s="6"/>
    </row>
    <row r="27" spans="1:8" ht="54" customHeight="1" x14ac:dyDescent="0.3">
      <c r="A27" s="167" t="s">
        <v>242</v>
      </c>
      <c r="B27" s="167"/>
      <c r="C27" s="167"/>
      <c r="D27" s="167"/>
      <c r="E27" s="167"/>
      <c r="F27" s="167"/>
      <c r="G27" s="6"/>
      <c r="H27" s="6"/>
    </row>
    <row r="28" spans="1:8" ht="28.5" customHeight="1" x14ac:dyDescent="0.3">
      <c r="A28" s="158" t="s">
        <v>243</v>
      </c>
      <c r="B28" s="158"/>
      <c r="C28" s="158"/>
      <c r="D28" s="158"/>
      <c r="E28" s="158"/>
      <c r="F28" s="158"/>
      <c r="G28" s="6"/>
      <c r="H28" s="6"/>
    </row>
    <row r="29" spans="1:8" ht="19.5" customHeight="1" x14ac:dyDescent="0.3">
      <c r="A29" s="158"/>
      <c r="B29" s="158"/>
      <c r="C29" s="158"/>
      <c r="D29" s="158"/>
      <c r="E29" s="158"/>
      <c r="F29" s="158"/>
      <c r="G29" s="6"/>
      <c r="H29" s="6"/>
    </row>
    <row r="30" spans="1:8" ht="20.25" customHeight="1" x14ac:dyDescent="0.25">
      <c r="A30" s="160" t="s">
        <v>238</v>
      </c>
      <c r="B30" s="160"/>
      <c r="C30" s="160"/>
      <c r="D30" s="160"/>
      <c r="E30" s="160"/>
      <c r="F30" s="160"/>
    </row>
    <row r="31" spans="1:8" ht="52.5" customHeight="1" x14ac:dyDescent="0.25">
      <c r="A31" s="159" t="s">
        <v>239</v>
      </c>
      <c r="B31" s="159"/>
      <c r="C31" s="159"/>
      <c r="D31" s="159"/>
      <c r="E31" s="159"/>
      <c r="F31" s="159"/>
    </row>
    <row r="32" spans="1:8" ht="21.75" customHeight="1" x14ac:dyDescent="0.25">
      <c r="A32" s="161" t="s">
        <v>31</v>
      </c>
      <c r="B32" s="161"/>
      <c r="C32" s="161"/>
      <c r="D32" s="161"/>
      <c r="E32" s="161"/>
      <c r="F32" s="161"/>
    </row>
    <row r="33" spans="1:6" ht="102.75" customHeight="1" x14ac:dyDescent="0.25">
      <c r="A33" s="159" t="s">
        <v>197</v>
      </c>
      <c r="B33" s="159"/>
      <c r="C33" s="159"/>
      <c r="D33" s="159"/>
      <c r="E33" s="159"/>
      <c r="F33" s="159"/>
    </row>
    <row r="34" spans="1:6" ht="17.25" customHeight="1" x14ac:dyDescent="0.25">
      <c r="A34" s="159" t="s">
        <v>38</v>
      </c>
      <c r="B34" s="159"/>
      <c r="C34" s="159"/>
      <c r="D34" s="159"/>
      <c r="E34" s="159"/>
      <c r="F34" s="159"/>
    </row>
    <row r="35" spans="1:6" ht="35.25" customHeight="1" x14ac:dyDescent="0.25">
      <c r="A35" s="159" t="s">
        <v>108</v>
      </c>
      <c r="B35" s="159"/>
      <c r="C35" s="159"/>
      <c r="D35" s="159"/>
      <c r="E35" s="159"/>
      <c r="F35" s="159"/>
    </row>
    <row r="36" spans="1:6" ht="35.25" customHeight="1" x14ac:dyDescent="0.25">
      <c r="A36" s="159" t="s">
        <v>196</v>
      </c>
      <c r="B36" s="159"/>
      <c r="C36" s="159"/>
      <c r="D36" s="159"/>
      <c r="E36" s="159"/>
      <c r="F36" s="159"/>
    </row>
    <row r="37" spans="1:6" ht="21.75" customHeight="1" x14ac:dyDescent="0.25">
      <c r="A37" s="159" t="s">
        <v>72</v>
      </c>
      <c r="B37" s="159"/>
      <c r="C37" s="159"/>
      <c r="D37" s="159"/>
      <c r="E37" s="159"/>
      <c r="F37" s="159"/>
    </row>
    <row r="38" spans="1:6" ht="84" customHeight="1" x14ac:dyDescent="0.25">
      <c r="A38" s="159" t="s">
        <v>195</v>
      </c>
      <c r="B38" s="159"/>
      <c r="C38" s="159"/>
      <c r="D38" s="159"/>
      <c r="E38" s="159"/>
      <c r="F38" s="159"/>
    </row>
    <row r="39" spans="1:6" s="67" customFormat="1" ht="65.25" customHeight="1" x14ac:dyDescent="0.25">
      <c r="A39" s="168" t="s">
        <v>113</v>
      </c>
      <c r="B39" s="168"/>
      <c r="C39" s="168"/>
      <c r="D39" s="168"/>
      <c r="E39" s="168"/>
      <c r="F39" s="168"/>
    </row>
    <row r="40" spans="1:6" ht="19.5" customHeight="1" x14ac:dyDescent="0.25">
      <c r="A40" s="159" t="s">
        <v>37</v>
      </c>
      <c r="B40" s="159"/>
      <c r="C40" s="159"/>
      <c r="D40" s="159"/>
      <c r="E40" s="159"/>
      <c r="F40" s="159"/>
    </row>
    <row r="41" spans="1:6" ht="17.25" customHeight="1" x14ac:dyDescent="0.25">
      <c r="A41" s="159" t="s">
        <v>70</v>
      </c>
      <c r="B41" s="159"/>
      <c r="C41" s="159"/>
      <c r="D41" s="159"/>
      <c r="E41" s="159"/>
      <c r="F41" s="159"/>
    </row>
    <row r="42" spans="1:6" ht="87" customHeight="1" x14ac:dyDescent="0.25">
      <c r="A42" s="159" t="s">
        <v>226</v>
      </c>
      <c r="B42" s="159"/>
      <c r="C42" s="159"/>
      <c r="D42" s="159"/>
      <c r="E42" s="159"/>
      <c r="F42" s="159"/>
    </row>
    <row r="43" spans="1:6" ht="19.5" customHeight="1" x14ac:dyDescent="0.25">
      <c r="A43" s="159" t="s">
        <v>72</v>
      </c>
      <c r="B43" s="159"/>
      <c r="C43" s="159"/>
      <c r="D43" s="159"/>
      <c r="E43" s="159"/>
      <c r="F43" s="159"/>
    </row>
    <row r="44" spans="1:6" ht="68.25" customHeight="1" x14ac:dyDescent="0.25">
      <c r="A44" s="159" t="s">
        <v>128</v>
      </c>
      <c r="B44" s="159"/>
      <c r="C44" s="159"/>
      <c r="D44" s="159"/>
      <c r="E44" s="159"/>
      <c r="F44" s="159"/>
    </row>
    <row r="45" spans="1:6" ht="12.75" customHeight="1" x14ac:dyDescent="0.25">
      <c r="A45" s="12"/>
      <c r="B45" s="12"/>
      <c r="C45" s="12"/>
      <c r="D45" s="12"/>
      <c r="E45" s="12"/>
      <c r="F45" s="10" t="s">
        <v>7</v>
      </c>
    </row>
    <row r="46" spans="1:6" s="19" customFormat="1" ht="24" customHeight="1" x14ac:dyDescent="0.2">
      <c r="A46" s="17" t="s">
        <v>1</v>
      </c>
      <c r="B46" s="173" t="s">
        <v>2</v>
      </c>
      <c r="C46" s="173"/>
      <c r="D46" s="17" t="s">
        <v>3</v>
      </c>
      <c r="E46" s="17" t="s">
        <v>4</v>
      </c>
      <c r="F46" s="17" t="s">
        <v>5</v>
      </c>
    </row>
    <row r="47" spans="1:6" s="26" customFormat="1" ht="15" customHeight="1" x14ac:dyDescent="0.25">
      <c r="A47" s="171" t="s">
        <v>30</v>
      </c>
      <c r="B47" s="169" t="s">
        <v>117</v>
      </c>
      <c r="C47" s="170"/>
      <c r="D47" s="33">
        <v>0</v>
      </c>
      <c r="E47" s="34">
        <v>720</v>
      </c>
      <c r="F47" s="35">
        <f t="shared" ref="F47:F60" si="1">SUM(D47:E47)</f>
        <v>720</v>
      </c>
    </row>
    <row r="48" spans="1:6" s="26" customFormat="1" ht="15" customHeight="1" x14ac:dyDescent="0.25">
      <c r="A48" s="174"/>
      <c r="B48" s="169" t="s">
        <v>95</v>
      </c>
      <c r="C48" s="170"/>
      <c r="D48" s="33">
        <v>91.1</v>
      </c>
      <c r="E48" s="34">
        <v>11.1</v>
      </c>
      <c r="F48" s="35">
        <f t="shared" si="1"/>
        <v>102.19999999999999</v>
      </c>
    </row>
    <row r="49" spans="1:8" s="26" customFormat="1" ht="15" customHeight="1" x14ac:dyDescent="0.25">
      <c r="A49" s="171" t="s">
        <v>8</v>
      </c>
      <c r="B49" s="169" t="s">
        <v>118</v>
      </c>
      <c r="C49" s="170"/>
      <c r="D49" s="33">
        <v>0</v>
      </c>
      <c r="E49" s="34">
        <v>815.7</v>
      </c>
      <c r="F49" s="35">
        <f t="shared" si="1"/>
        <v>815.7</v>
      </c>
    </row>
    <row r="50" spans="1:8" s="26" customFormat="1" ht="15" customHeight="1" x14ac:dyDescent="0.25">
      <c r="A50" s="172"/>
      <c r="B50" s="31" t="s">
        <v>69</v>
      </c>
      <c r="C50" s="32"/>
      <c r="D50" s="36">
        <v>873.6</v>
      </c>
      <c r="E50" s="34">
        <v>-816</v>
      </c>
      <c r="F50" s="35">
        <f t="shared" si="1"/>
        <v>57.600000000000023</v>
      </c>
    </row>
    <row r="51" spans="1:8" s="27" customFormat="1" ht="17.25" customHeight="1" x14ac:dyDescent="0.25">
      <c r="A51" s="172"/>
      <c r="B51" s="37" t="s">
        <v>103</v>
      </c>
      <c r="C51" s="38"/>
      <c r="D51" s="36">
        <v>5500</v>
      </c>
      <c r="E51" s="39">
        <v>407</v>
      </c>
      <c r="F51" s="35">
        <f>SUM(D51:E51)</f>
        <v>5907</v>
      </c>
    </row>
    <row r="52" spans="1:8" s="27" customFormat="1" ht="17.25" customHeight="1" x14ac:dyDescent="0.25">
      <c r="A52" s="171" t="s">
        <v>25</v>
      </c>
      <c r="B52" s="37" t="s">
        <v>107</v>
      </c>
      <c r="C52" s="38"/>
      <c r="D52" s="36">
        <v>161.60000000000002</v>
      </c>
      <c r="E52" s="39">
        <v>33.799999999999997</v>
      </c>
      <c r="F52" s="35">
        <f t="shared" si="1"/>
        <v>195.40000000000003</v>
      </c>
    </row>
    <row r="53" spans="1:8" s="27" customFormat="1" ht="17.25" customHeight="1" x14ac:dyDescent="0.25">
      <c r="A53" s="172"/>
      <c r="B53" s="37" t="s">
        <v>96</v>
      </c>
      <c r="C53" s="38"/>
      <c r="D53" s="39">
        <v>36.064360000000001</v>
      </c>
      <c r="E53" s="48">
        <f>0.15382+2.71139</f>
        <v>2.8652100000000003</v>
      </c>
      <c r="F53" s="35">
        <f t="shared" si="1"/>
        <v>38.929569999999998</v>
      </c>
    </row>
    <row r="54" spans="1:8" s="27" customFormat="1" ht="17.25" customHeight="1" x14ac:dyDescent="0.25">
      <c r="A54" s="172"/>
      <c r="B54" s="37" t="s">
        <v>51</v>
      </c>
      <c r="C54" s="38"/>
      <c r="D54" s="39">
        <v>7295.7725899999996</v>
      </c>
      <c r="E54" s="48">
        <f>30.76347+542.27756</f>
        <v>573.04102999999998</v>
      </c>
      <c r="F54" s="35">
        <f t="shared" si="1"/>
        <v>7868.8136199999999</v>
      </c>
    </row>
    <row r="55" spans="1:8" s="27" customFormat="1" ht="17.25" customHeight="1" x14ac:dyDescent="0.25">
      <c r="A55" s="172"/>
      <c r="B55" s="37" t="s">
        <v>102</v>
      </c>
      <c r="C55" s="38"/>
      <c r="D55" s="36">
        <v>11466</v>
      </c>
      <c r="E55" s="39">
        <v>372</v>
      </c>
      <c r="F55" s="35">
        <f t="shared" si="1"/>
        <v>11838</v>
      </c>
    </row>
    <row r="56" spans="1:8" s="27" customFormat="1" ht="17.25" customHeight="1" x14ac:dyDescent="0.25">
      <c r="A56" s="172"/>
      <c r="B56" s="37" t="s">
        <v>127</v>
      </c>
      <c r="C56" s="38"/>
      <c r="D56" s="36">
        <v>4629</v>
      </c>
      <c r="E56" s="39">
        <v>-1200</v>
      </c>
      <c r="F56" s="35">
        <f>SUM(D56:E56)</f>
        <v>3429</v>
      </c>
    </row>
    <row r="57" spans="1:8" s="27" customFormat="1" ht="17.25" customHeight="1" x14ac:dyDescent="0.25">
      <c r="A57" s="172"/>
      <c r="B57" s="37" t="s">
        <v>104</v>
      </c>
      <c r="C57" s="38"/>
      <c r="D57" s="36">
        <v>102613.5</v>
      </c>
      <c r="E57" s="39">
        <v>-7428</v>
      </c>
      <c r="F57" s="35">
        <f>SUM(D57:E57)</f>
        <v>95185.5</v>
      </c>
    </row>
    <row r="58" spans="1:8" s="27" customFormat="1" ht="17.25" customHeight="1" x14ac:dyDescent="0.25">
      <c r="A58" s="172"/>
      <c r="B58" s="37" t="s">
        <v>105</v>
      </c>
      <c r="C58" s="38"/>
      <c r="D58" s="36">
        <v>1459</v>
      </c>
      <c r="E58" s="39">
        <v>-100</v>
      </c>
      <c r="F58" s="35">
        <f>SUM(D58:E58)</f>
        <v>1359</v>
      </c>
    </row>
    <row r="59" spans="1:8" s="27" customFormat="1" ht="17.25" customHeight="1" x14ac:dyDescent="0.25">
      <c r="A59" s="172"/>
      <c r="B59" s="37" t="s">
        <v>106</v>
      </c>
      <c r="C59" s="38"/>
      <c r="D59" s="36">
        <v>52009</v>
      </c>
      <c r="E59" s="39">
        <v>300</v>
      </c>
      <c r="F59" s="35">
        <f>SUM(D59:E59)</f>
        <v>52309</v>
      </c>
    </row>
    <row r="60" spans="1:8" s="27" customFormat="1" ht="17.25" customHeight="1" x14ac:dyDescent="0.25">
      <c r="A60" s="174"/>
      <c r="B60" s="37" t="s">
        <v>114</v>
      </c>
      <c r="C60" s="38"/>
      <c r="D60" s="36">
        <v>1095</v>
      </c>
      <c r="E60" s="39">
        <v>100</v>
      </c>
      <c r="F60" s="35">
        <f t="shared" si="1"/>
        <v>1195</v>
      </c>
    </row>
    <row r="61" spans="1:8" ht="15" customHeight="1" x14ac:dyDescent="0.25">
      <c r="A61" s="7" t="s">
        <v>6</v>
      </c>
      <c r="B61" s="175"/>
      <c r="C61" s="175"/>
      <c r="D61" s="8"/>
      <c r="E61" s="9">
        <f>SUM(E47:E60)</f>
        <v>-6208.4937599999994</v>
      </c>
      <c r="F61" s="8"/>
      <c r="G61" s="5">
        <f>30.91729+779-7428-100+300-816+33.8+11.1+100+720+815.7-1200+544.98895</f>
        <v>-6208.4937599999994</v>
      </c>
      <c r="H61" s="16">
        <f>G61-E61</f>
        <v>0</v>
      </c>
    </row>
    <row r="62" spans="1:8" ht="14.25" customHeight="1" x14ac:dyDescent="0.25">
      <c r="A62" s="2"/>
      <c r="B62" s="3"/>
      <c r="C62" s="3"/>
      <c r="D62" s="4"/>
      <c r="E62" s="1"/>
      <c r="F62" s="4"/>
    </row>
    <row r="63" spans="1:8" ht="22.5" customHeight="1" x14ac:dyDescent="0.25">
      <c r="A63" s="176" t="s">
        <v>29</v>
      </c>
      <c r="B63" s="176"/>
      <c r="C63" s="176"/>
      <c r="D63" s="176"/>
      <c r="E63" s="176"/>
      <c r="F63" s="176"/>
    </row>
    <row r="64" spans="1:8" ht="106.5" customHeight="1" x14ac:dyDescent="0.25">
      <c r="A64" s="177" t="s">
        <v>240</v>
      </c>
      <c r="B64" s="177"/>
      <c r="C64" s="177"/>
      <c r="D64" s="177"/>
      <c r="E64" s="177"/>
      <c r="F64" s="177"/>
    </row>
    <row r="65" spans="1:6" ht="65.25" customHeight="1" x14ac:dyDescent="0.25">
      <c r="A65" s="178" t="s">
        <v>198</v>
      </c>
      <c r="B65" s="177"/>
      <c r="C65" s="177"/>
      <c r="D65" s="177"/>
      <c r="E65" s="177"/>
      <c r="F65" s="177"/>
    </row>
    <row r="66" spans="1:6" ht="36.75" customHeight="1" x14ac:dyDescent="0.25">
      <c r="A66" s="178" t="s">
        <v>121</v>
      </c>
      <c r="B66" s="177"/>
      <c r="C66" s="177"/>
      <c r="D66" s="177"/>
      <c r="E66" s="177"/>
      <c r="F66" s="177"/>
    </row>
    <row r="67" spans="1:6" ht="68.25" customHeight="1" x14ac:dyDescent="0.25">
      <c r="A67" s="178" t="s">
        <v>171</v>
      </c>
      <c r="B67" s="178"/>
      <c r="C67" s="178"/>
      <c r="D67" s="178"/>
      <c r="E67" s="178"/>
      <c r="F67" s="178"/>
    </row>
    <row r="68" spans="1:6" ht="87.75" customHeight="1" x14ac:dyDescent="0.25">
      <c r="A68" s="178" t="s">
        <v>227</v>
      </c>
      <c r="B68" s="178"/>
      <c r="C68" s="178"/>
      <c r="D68" s="178"/>
      <c r="E68" s="178"/>
      <c r="F68" s="178"/>
    </row>
    <row r="69" spans="1:6" ht="20.25" customHeight="1" x14ac:dyDescent="0.25">
      <c r="A69" s="180" t="s">
        <v>32</v>
      </c>
      <c r="B69" s="180"/>
      <c r="C69" s="180"/>
      <c r="D69" s="180"/>
      <c r="E69" s="180"/>
      <c r="F69" s="180"/>
    </row>
    <row r="70" spans="1:6" ht="114" customHeight="1" x14ac:dyDescent="0.25">
      <c r="A70" s="179" t="s">
        <v>201</v>
      </c>
      <c r="B70" s="179"/>
      <c r="C70" s="179"/>
      <c r="D70" s="179"/>
      <c r="E70" s="179"/>
      <c r="F70" s="179"/>
    </row>
    <row r="71" spans="1:6" ht="71.25" customHeight="1" x14ac:dyDescent="0.25">
      <c r="A71" s="179" t="s">
        <v>190</v>
      </c>
      <c r="B71" s="179"/>
      <c r="C71" s="179"/>
      <c r="D71" s="179"/>
      <c r="E71" s="179"/>
      <c r="F71" s="179"/>
    </row>
    <row r="72" spans="1:6" ht="83.25" customHeight="1" x14ac:dyDescent="0.25">
      <c r="A72" s="179" t="s">
        <v>228</v>
      </c>
      <c r="B72" s="179"/>
      <c r="C72" s="179"/>
      <c r="D72" s="179"/>
      <c r="E72" s="179"/>
      <c r="F72" s="179"/>
    </row>
    <row r="73" spans="1:6" ht="38.25" customHeight="1" x14ac:dyDescent="0.25">
      <c r="A73" s="179" t="s">
        <v>191</v>
      </c>
      <c r="B73" s="179"/>
      <c r="C73" s="179"/>
      <c r="D73" s="179"/>
      <c r="E73" s="179"/>
      <c r="F73" s="179"/>
    </row>
    <row r="74" spans="1:6" ht="82.5" customHeight="1" x14ac:dyDescent="0.25">
      <c r="A74" s="179" t="s">
        <v>202</v>
      </c>
      <c r="B74" s="179"/>
      <c r="C74" s="179"/>
      <c r="D74" s="179"/>
      <c r="E74" s="179"/>
      <c r="F74" s="179"/>
    </row>
    <row r="75" spans="1:6" ht="18.75" customHeight="1" x14ac:dyDescent="0.25">
      <c r="A75" s="180" t="s">
        <v>35</v>
      </c>
      <c r="B75" s="180"/>
      <c r="C75" s="180"/>
      <c r="D75" s="180"/>
      <c r="E75" s="180"/>
      <c r="F75" s="180"/>
    </row>
    <row r="76" spans="1:6" ht="20.25" customHeight="1" x14ac:dyDescent="0.25">
      <c r="A76" s="179" t="s">
        <v>80</v>
      </c>
      <c r="B76" s="179"/>
      <c r="C76" s="179"/>
      <c r="D76" s="179"/>
      <c r="E76" s="179"/>
      <c r="F76" s="179"/>
    </row>
    <row r="77" spans="1:6" ht="87" customHeight="1" x14ac:dyDescent="0.25">
      <c r="A77" s="179" t="s">
        <v>186</v>
      </c>
      <c r="B77" s="179"/>
      <c r="C77" s="179"/>
      <c r="D77" s="179"/>
      <c r="E77" s="179"/>
      <c r="F77" s="179"/>
    </row>
    <row r="78" spans="1:6" ht="48" customHeight="1" x14ac:dyDescent="0.25">
      <c r="A78" s="179" t="s">
        <v>203</v>
      </c>
      <c r="B78" s="179"/>
      <c r="C78" s="179"/>
      <c r="D78" s="179"/>
      <c r="E78" s="179"/>
      <c r="F78" s="179"/>
    </row>
    <row r="79" spans="1:6" ht="48.75" customHeight="1" x14ac:dyDescent="0.25">
      <c r="A79" s="179" t="s">
        <v>126</v>
      </c>
      <c r="B79" s="179"/>
      <c r="C79" s="179"/>
      <c r="D79" s="179"/>
      <c r="E79" s="179"/>
      <c r="F79" s="179"/>
    </row>
    <row r="80" spans="1:6" ht="48.75" customHeight="1" x14ac:dyDescent="0.25">
      <c r="A80" s="179" t="s">
        <v>184</v>
      </c>
      <c r="B80" s="179"/>
      <c r="C80" s="179"/>
      <c r="D80" s="179"/>
      <c r="E80" s="179"/>
      <c r="F80" s="179"/>
    </row>
    <row r="81" spans="1:6" ht="48.75" customHeight="1" x14ac:dyDescent="0.25">
      <c r="A81" s="179" t="s">
        <v>204</v>
      </c>
      <c r="B81" s="179"/>
      <c r="C81" s="179"/>
      <c r="D81" s="179"/>
      <c r="E81" s="179"/>
      <c r="F81" s="179"/>
    </row>
    <row r="82" spans="1:6" ht="21" customHeight="1" x14ac:dyDescent="0.2">
      <c r="A82" s="181" t="s">
        <v>199</v>
      </c>
      <c r="B82" s="181"/>
      <c r="C82" s="181"/>
      <c r="D82" s="181"/>
      <c r="E82" s="181"/>
      <c r="F82" s="181"/>
    </row>
    <row r="83" spans="1:6" ht="20.25" customHeight="1" x14ac:dyDescent="0.25">
      <c r="A83" s="179" t="s">
        <v>80</v>
      </c>
      <c r="B83" s="179"/>
      <c r="C83" s="179"/>
      <c r="D83" s="179"/>
      <c r="E83" s="179"/>
      <c r="F83" s="179"/>
    </row>
    <row r="84" spans="1:6" ht="68.25" customHeight="1" x14ac:dyDescent="0.25">
      <c r="A84" s="178" t="s">
        <v>200</v>
      </c>
      <c r="B84" s="178"/>
      <c r="C84" s="178"/>
      <c r="D84" s="178"/>
      <c r="E84" s="178"/>
      <c r="F84" s="178"/>
    </row>
    <row r="85" spans="1:6" ht="24.75" hidden="1" customHeight="1" x14ac:dyDescent="0.25">
      <c r="A85" s="180" t="s">
        <v>85</v>
      </c>
      <c r="B85" s="180"/>
      <c r="C85" s="180"/>
      <c r="D85" s="180"/>
      <c r="E85" s="180"/>
      <c r="F85" s="180"/>
    </row>
    <row r="86" spans="1:6" ht="18" customHeight="1" x14ac:dyDescent="0.25">
      <c r="A86" s="177" t="s">
        <v>31</v>
      </c>
      <c r="B86" s="177"/>
      <c r="C86" s="177"/>
      <c r="D86" s="177"/>
      <c r="E86" s="177"/>
      <c r="F86" s="177"/>
    </row>
    <row r="87" spans="1:6" ht="32.25" customHeight="1" x14ac:dyDescent="0.3">
      <c r="A87" s="182" t="s">
        <v>129</v>
      </c>
      <c r="B87" s="182"/>
      <c r="C87" s="182"/>
      <c r="D87" s="182"/>
      <c r="E87" s="182"/>
      <c r="F87" s="182"/>
    </row>
    <row r="88" spans="1:6" ht="18" customHeight="1" x14ac:dyDescent="0.25">
      <c r="A88" s="47" t="s">
        <v>86</v>
      </c>
      <c r="B88" s="46"/>
      <c r="C88" s="46"/>
      <c r="D88" s="46"/>
      <c r="E88" s="46"/>
      <c r="F88" s="46"/>
    </row>
    <row r="89" spans="1:6" ht="36" customHeight="1" x14ac:dyDescent="0.25">
      <c r="A89" s="178" t="s">
        <v>130</v>
      </c>
      <c r="B89" s="178"/>
      <c r="C89" s="178"/>
      <c r="D89" s="178"/>
      <c r="E89" s="178"/>
      <c r="F89" s="178"/>
    </row>
    <row r="90" spans="1:6" ht="21" customHeight="1" x14ac:dyDescent="0.25">
      <c r="A90" s="178" t="s">
        <v>224</v>
      </c>
      <c r="B90" s="178"/>
      <c r="C90" s="178"/>
      <c r="D90" s="178"/>
      <c r="E90" s="178"/>
      <c r="F90" s="178"/>
    </row>
    <row r="91" spans="1:6" ht="21" customHeight="1" x14ac:dyDescent="0.25">
      <c r="A91" s="178" t="s">
        <v>131</v>
      </c>
      <c r="B91" s="178"/>
      <c r="C91" s="178"/>
      <c r="D91" s="178"/>
      <c r="E91" s="178"/>
      <c r="F91" s="178"/>
    </row>
    <row r="92" spans="1:6" ht="21" customHeight="1" x14ac:dyDescent="0.25">
      <c r="A92" s="178" t="s">
        <v>150</v>
      </c>
      <c r="B92" s="178"/>
      <c r="C92" s="178"/>
      <c r="D92" s="178"/>
      <c r="E92" s="178"/>
      <c r="F92" s="178"/>
    </row>
    <row r="93" spans="1:6" ht="21" customHeight="1" x14ac:dyDescent="0.25">
      <c r="A93" s="178" t="s">
        <v>132</v>
      </c>
      <c r="B93" s="178"/>
      <c r="C93" s="178"/>
      <c r="D93" s="178"/>
      <c r="E93" s="178"/>
      <c r="F93" s="178"/>
    </row>
    <row r="94" spans="1:6" ht="39" customHeight="1" x14ac:dyDescent="0.25">
      <c r="A94" s="178" t="s">
        <v>133</v>
      </c>
      <c r="B94" s="178"/>
      <c r="C94" s="178"/>
      <c r="D94" s="178"/>
      <c r="E94" s="178"/>
      <c r="F94" s="178"/>
    </row>
    <row r="95" spans="1:6" ht="72.75" customHeight="1" x14ac:dyDescent="0.25">
      <c r="A95" s="178" t="s">
        <v>229</v>
      </c>
      <c r="B95" s="178"/>
      <c r="C95" s="178"/>
      <c r="D95" s="178"/>
      <c r="E95" s="178"/>
      <c r="F95" s="178"/>
    </row>
    <row r="96" spans="1:6" ht="18" customHeight="1" x14ac:dyDescent="0.25">
      <c r="A96" s="47" t="s">
        <v>109</v>
      </c>
      <c r="B96" s="46"/>
      <c r="C96" s="46"/>
      <c r="D96" s="46"/>
      <c r="E96" s="46"/>
      <c r="F96" s="46"/>
    </row>
    <row r="97" spans="1:6" ht="21" customHeight="1" x14ac:dyDescent="0.25">
      <c r="A97" s="178" t="s">
        <v>134</v>
      </c>
      <c r="B97" s="178"/>
      <c r="C97" s="178"/>
      <c r="D97" s="178"/>
      <c r="E97" s="178"/>
      <c r="F97" s="178"/>
    </row>
    <row r="98" spans="1:6" ht="21" customHeight="1" x14ac:dyDescent="0.25">
      <c r="A98" s="178" t="s">
        <v>135</v>
      </c>
      <c r="B98" s="178"/>
      <c r="C98" s="178"/>
      <c r="D98" s="178"/>
      <c r="E98" s="178"/>
      <c r="F98" s="178"/>
    </row>
    <row r="99" spans="1:6" ht="18" customHeight="1" x14ac:dyDescent="0.25">
      <c r="A99" s="47" t="s">
        <v>34</v>
      </c>
      <c r="B99" s="46"/>
      <c r="C99" s="46"/>
      <c r="D99" s="46"/>
      <c r="E99" s="46"/>
      <c r="F99" s="46"/>
    </row>
    <row r="100" spans="1:6" ht="21" customHeight="1" x14ac:dyDescent="0.25">
      <c r="A100" s="178" t="s">
        <v>136</v>
      </c>
      <c r="B100" s="178"/>
      <c r="C100" s="178"/>
      <c r="D100" s="178"/>
      <c r="E100" s="178"/>
      <c r="F100" s="178"/>
    </row>
    <row r="101" spans="1:6" ht="18" customHeight="1" x14ac:dyDescent="0.25">
      <c r="A101" s="47" t="s">
        <v>14</v>
      </c>
      <c r="B101" s="46"/>
      <c r="C101" s="46"/>
      <c r="D101" s="46"/>
      <c r="E101" s="46"/>
      <c r="F101" s="46"/>
    </row>
    <row r="102" spans="1:6" ht="21" customHeight="1" x14ac:dyDescent="0.25">
      <c r="A102" s="178" t="s">
        <v>137</v>
      </c>
      <c r="B102" s="178"/>
      <c r="C102" s="178"/>
      <c r="D102" s="178"/>
      <c r="E102" s="178"/>
      <c r="F102" s="178"/>
    </row>
    <row r="103" spans="1:6" ht="21" customHeight="1" x14ac:dyDescent="0.25">
      <c r="A103" s="178" t="s">
        <v>225</v>
      </c>
      <c r="B103" s="178"/>
      <c r="C103" s="178"/>
      <c r="D103" s="178"/>
      <c r="E103" s="178"/>
      <c r="F103" s="178"/>
    </row>
    <row r="104" spans="1:6" ht="18" customHeight="1" x14ac:dyDescent="0.25">
      <c r="A104" s="47" t="s">
        <v>8</v>
      </c>
      <c r="B104" s="46"/>
      <c r="C104" s="46"/>
      <c r="D104" s="46"/>
      <c r="E104" s="46"/>
      <c r="F104" s="46"/>
    </row>
    <row r="105" spans="1:6" ht="21" customHeight="1" x14ac:dyDescent="0.25">
      <c r="A105" s="178" t="s">
        <v>143</v>
      </c>
      <c r="B105" s="178"/>
      <c r="C105" s="178"/>
      <c r="D105" s="178"/>
      <c r="E105" s="178"/>
      <c r="F105" s="178"/>
    </row>
    <row r="106" spans="1:6" ht="18" customHeight="1" x14ac:dyDescent="0.25">
      <c r="A106" s="47" t="s">
        <v>26</v>
      </c>
      <c r="B106" s="46"/>
      <c r="C106" s="46"/>
      <c r="D106" s="46"/>
      <c r="E106" s="46"/>
      <c r="F106" s="46"/>
    </row>
    <row r="107" spans="1:6" ht="21" customHeight="1" x14ac:dyDescent="0.25">
      <c r="A107" s="178" t="s">
        <v>138</v>
      </c>
      <c r="B107" s="178"/>
      <c r="C107" s="178"/>
      <c r="D107" s="178"/>
      <c r="E107" s="178"/>
      <c r="F107" s="178"/>
    </row>
    <row r="108" spans="1:6" ht="32.25" customHeight="1" x14ac:dyDescent="0.25">
      <c r="A108" s="178" t="s">
        <v>141</v>
      </c>
      <c r="B108" s="178"/>
      <c r="C108" s="178"/>
      <c r="D108" s="178"/>
      <c r="E108" s="178"/>
      <c r="F108" s="178"/>
    </row>
    <row r="109" spans="1:6" ht="21" customHeight="1" x14ac:dyDescent="0.25">
      <c r="A109" s="178" t="s">
        <v>139</v>
      </c>
      <c r="B109" s="178"/>
      <c r="C109" s="178"/>
      <c r="D109" s="178"/>
      <c r="E109" s="178"/>
      <c r="F109" s="178"/>
    </row>
    <row r="110" spans="1:6" ht="21" customHeight="1" x14ac:dyDescent="0.25">
      <c r="A110" s="178" t="s">
        <v>140</v>
      </c>
      <c r="B110" s="178"/>
      <c r="C110" s="178"/>
      <c r="D110" s="178"/>
      <c r="E110" s="178"/>
      <c r="F110" s="178"/>
    </row>
    <row r="111" spans="1:6" ht="18" customHeight="1" x14ac:dyDescent="0.3">
      <c r="A111" s="182" t="s">
        <v>87</v>
      </c>
      <c r="B111" s="182"/>
      <c r="C111" s="182"/>
      <c r="D111" s="182"/>
      <c r="E111" s="182"/>
      <c r="F111" s="182"/>
    </row>
    <row r="112" spans="1:6" ht="51" customHeight="1" x14ac:dyDescent="0.25">
      <c r="A112" s="183" t="s">
        <v>174</v>
      </c>
      <c r="B112" s="183"/>
      <c r="C112" s="183"/>
      <c r="D112" s="183"/>
      <c r="E112" s="183"/>
      <c r="F112" s="183"/>
    </row>
    <row r="113" spans="1:14" ht="18" customHeight="1" x14ac:dyDescent="0.3">
      <c r="A113" s="182" t="s">
        <v>81</v>
      </c>
      <c r="B113" s="182"/>
      <c r="C113" s="182"/>
      <c r="D113" s="182"/>
      <c r="E113" s="182"/>
      <c r="F113" s="182"/>
    </row>
    <row r="114" spans="1:14" s="68" customFormat="1" ht="18" customHeight="1" x14ac:dyDescent="0.25">
      <c r="A114" s="183" t="s">
        <v>86</v>
      </c>
      <c r="B114" s="183"/>
      <c r="C114" s="183"/>
      <c r="D114" s="183"/>
      <c r="E114" s="183"/>
      <c r="F114" s="183"/>
    </row>
    <row r="115" spans="1:14" ht="34.5" customHeight="1" x14ac:dyDescent="0.25">
      <c r="A115" s="183" t="s">
        <v>175</v>
      </c>
      <c r="B115" s="183"/>
      <c r="C115" s="183"/>
      <c r="D115" s="183"/>
      <c r="E115" s="183"/>
      <c r="F115" s="183"/>
    </row>
    <row r="116" spans="1:14" ht="18" customHeight="1" x14ac:dyDescent="0.3">
      <c r="A116" s="182" t="s">
        <v>194</v>
      </c>
      <c r="B116" s="182"/>
      <c r="C116" s="182"/>
      <c r="D116" s="182"/>
      <c r="E116" s="182"/>
      <c r="F116" s="182"/>
    </row>
    <row r="117" spans="1:14" s="68" customFormat="1" ht="18" customHeight="1" x14ac:dyDescent="0.25">
      <c r="A117" s="183" t="s">
        <v>230</v>
      </c>
      <c r="B117" s="183"/>
      <c r="C117" s="183"/>
      <c r="D117" s="183"/>
      <c r="E117" s="183"/>
      <c r="F117" s="183"/>
    </row>
    <row r="118" spans="1:14" ht="17.25" customHeight="1" x14ac:dyDescent="0.25">
      <c r="A118" s="183" t="s">
        <v>231</v>
      </c>
      <c r="B118" s="183"/>
      <c r="C118" s="183"/>
      <c r="D118" s="183"/>
      <c r="E118" s="183"/>
      <c r="F118" s="183"/>
    </row>
    <row r="119" spans="1:14" s="11" customFormat="1" ht="14.25" customHeight="1" x14ac:dyDescent="0.2">
      <c r="A119" s="14"/>
      <c r="B119" s="14"/>
      <c r="C119" s="14"/>
      <c r="D119" s="14"/>
      <c r="E119" s="15"/>
      <c r="F119" s="20" t="s">
        <v>21</v>
      </c>
      <c r="M119" s="5"/>
      <c r="N119" s="5"/>
    </row>
    <row r="120" spans="1:14" s="49" customFormat="1" ht="28.5" customHeight="1" x14ac:dyDescent="0.2">
      <c r="A120" s="17" t="s">
        <v>1</v>
      </c>
      <c r="B120" s="173" t="s">
        <v>2</v>
      </c>
      <c r="C120" s="173"/>
      <c r="D120" s="17" t="s">
        <v>3</v>
      </c>
      <c r="E120" s="17" t="s">
        <v>4</v>
      </c>
      <c r="F120" s="17" t="s">
        <v>5</v>
      </c>
      <c r="M120" s="19"/>
      <c r="N120" s="19"/>
    </row>
    <row r="121" spans="1:14" ht="15.75" x14ac:dyDescent="0.25">
      <c r="A121" s="171" t="s">
        <v>30</v>
      </c>
      <c r="B121" s="37" t="s">
        <v>50</v>
      </c>
      <c r="C121" s="38"/>
      <c r="D121" s="36">
        <v>1217</v>
      </c>
      <c r="E121" s="39">
        <f>367.2+100</f>
        <v>467.2</v>
      </c>
      <c r="F121" s="35">
        <f t="shared" ref="F121:F194" si="2">SUM(D121:E121)</f>
        <v>1684.2</v>
      </c>
    </row>
    <row r="122" spans="1:14" ht="15.75" x14ac:dyDescent="0.25">
      <c r="A122" s="172"/>
      <c r="B122" s="37" t="s">
        <v>44</v>
      </c>
      <c r="C122" s="38"/>
      <c r="D122" s="36">
        <v>24010</v>
      </c>
      <c r="E122" s="39">
        <f>100+7079.8</f>
        <v>7179.8</v>
      </c>
      <c r="F122" s="35">
        <f>SUM(D122:E122)</f>
        <v>31189.8</v>
      </c>
    </row>
    <row r="123" spans="1:14" ht="15.75" x14ac:dyDescent="0.25">
      <c r="A123" s="172"/>
      <c r="B123" s="37" t="s">
        <v>45</v>
      </c>
      <c r="C123" s="38"/>
      <c r="D123" s="36">
        <v>13090.6</v>
      </c>
      <c r="E123" s="39">
        <f>-100-26.8-100-197.2</f>
        <v>-424</v>
      </c>
      <c r="F123" s="35">
        <f t="shared" si="2"/>
        <v>12666.6</v>
      </c>
    </row>
    <row r="124" spans="1:14" ht="15.75" x14ac:dyDescent="0.25">
      <c r="A124" s="172"/>
      <c r="B124" s="37" t="s">
        <v>61</v>
      </c>
      <c r="C124" s="38"/>
      <c r="D124" s="36">
        <v>278.7</v>
      </c>
      <c r="E124" s="39">
        <f>26.8+97.2</f>
        <v>124</v>
      </c>
      <c r="F124" s="35">
        <f t="shared" si="2"/>
        <v>402.7</v>
      </c>
    </row>
    <row r="125" spans="1:14" ht="15.75" x14ac:dyDescent="0.25">
      <c r="A125" s="172"/>
      <c r="B125" s="37" t="s">
        <v>82</v>
      </c>
      <c r="C125" s="38"/>
      <c r="D125" s="36">
        <v>2345.6</v>
      </c>
      <c r="E125" s="39">
        <f>313-84.6</f>
        <v>228.4</v>
      </c>
      <c r="F125" s="35">
        <f>SUM(D125:E125)</f>
        <v>2574</v>
      </c>
    </row>
    <row r="126" spans="1:14" ht="15.75" x14ac:dyDescent="0.25">
      <c r="A126" s="172"/>
      <c r="B126" s="37" t="s">
        <v>169</v>
      </c>
      <c r="C126" s="38"/>
      <c r="D126" s="36">
        <v>182.9</v>
      </c>
      <c r="E126" s="39">
        <v>100</v>
      </c>
      <c r="F126" s="35">
        <f>SUM(D126:E126)</f>
        <v>282.89999999999998</v>
      </c>
    </row>
    <row r="127" spans="1:14" ht="15.75" x14ac:dyDescent="0.25">
      <c r="A127" s="172"/>
      <c r="B127" s="37" t="s">
        <v>57</v>
      </c>
      <c r="C127" s="38"/>
      <c r="D127" s="36">
        <v>4447.6000000000004</v>
      </c>
      <c r="E127" s="39">
        <v>219.6</v>
      </c>
      <c r="F127" s="35">
        <f t="shared" si="2"/>
        <v>4667.2000000000007</v>
      </c>
    </row>
    <row r="128" spans="1:14" ht="15.75" x14ac:dyDescent="0.25">
      <c r="A128" s="172"/>
      <c r="B128" s="37" t="s">
        <v>83</v>
      </c>
      <c r="C128" s="38"/>
      <c r="D128" s="36">
        <v>679</v>
      </c>
      <c r="E128" s="39">
        <v>64.5</v>
      </c>
      <c r="F128" s="35">
        <f>SUM(D128:E128)</f>
        <v>743.5</v>
      </c>
    </row>
    <row r="129" spans="1:14" ht="15.75" x14ac:dyDescent="0.25">
      <c r="A129" s="172"/>
      <c r="B129" s="37" t="s">
        <v>151</v>
      </c>
      <c r="C129" s="38"/>
      <c r="D129" s="36">
        <v>5167.7</v>
      </c>
      <c r="E129" s="39">
        <v>1543.8</v>
      </c>
      <c r="F129" s="35">
        <f>SUM(D129:E129)</f>
        <v>6711.5</v>
      </c>
    </row>
    <row r="130" spans="1:14" ht="15.75" x14ac:dyDescent="0.25">
      <c r="A130" s="172"/>
      <c r="B130" s="37" t="s">
        <v>64</v>
      </c>
      <c r="C130" s="38"/>
      <c r="D130" s="36">
        <v>9430.1</v>
      </c>
      <c r="E130" s="39">
        <v>4609.7</v>
      </c>
      <c r="F130" s="35">
        <f>SUM(D130:E130)</f>
        <v>14039.8</v>
      </c>
    </row>
    <row r="131" spans="1:14" ht="15.75" x14ac:dyDescent="0.25">
      <c r="A131" s="172"/>
      <c r="B131" s="37" t="s">
        <v>92</v>
      </c>
      <c r="C131" s="38"/>
      <c r="D131" s="36">
        <v>525.1</v>
      </c>
      <c r="E131" s="39">
        <f>21.5+30</f>
        <v>51.5</v>
      </c>
      <c r="F131" s="35">
        <f t="shared" si="2"/>
        <v>576.6</v>
      </c>
    </row>
    <row r="132" spans="1:14" ht="15.75" x14ac:dyDescent="0.25">
      <c r="A132" s="172"/>
      <c r="B132" s="37" t="s">
        <v>187</v>
      </c>
      <c r="C132" s="38"/>
      <c r="D132" s="36">
        <v>154.5</v>
      </c>
      <c r="E132" s="39">
        <v>-30</v>
      </c>
      <c r="F132" s="35">
        <f t="shared" ref="F132:F137" si="3">SUM(D132:E132)</f>
        <v>124.5</v>
      </c>
    </row>
    <row r="133" spans="1:14" ht="15.75" x14ac:dyDescent="0.25">
      <c r="A133" s="172"/>
      <c r="B133" s="37" t="s">
        <v>188</v>
      </c>
      <c r="C133" s="38"/>
      <c r="D133" s="36">
        <v>52</v>
      </c>
      <c r="E133" s="39">
        <v>-52</v>
      </c>
      <c r="F133" s="35">
        <f t="shared" si="3"/>
        <v>0</v>
      </c>
    </row>
    <row r="134" spans="1:14" ht="15.75" x14ac:dyDescent="0.25">
      <c r="A134" s="172"/>
      <c r="B134" s="37" t="s">
        <v>189</v>
      </c>
      <c r="C134" s="38"/>
      <c r="D134" s="36">
        <v>0</v>
      </c>
      <c r="E134" s="39">
        <v>52</v>
      </c>
      <c r="F134" s="35">
        <f t="shared" si="3"/>
        <v>52</v>
      </c>
    </row>
    <row r="135" spans="1:14" ht="15.75" x14ac:dyDescent="0.25">
      <c r="A135" s="172"/>
      <c r="B135" s="37" t="s">
        <v>149</v>
      </c>
      <c r="C135" s="38"/>
      <c r="D135" s="36">
        <v>2888</v>
      </c>
      <c r="E135" s="39">
        <v>849</v>
      </c>
      <c r="F135" s="35">
        <f t="shared" si="3"/>
        <v>3737</v>
      </c>
    </row>
    <row r="136" spans="1:14" ht="15.75" x14ac:dyDescent="0.25">
      <c r="A136" s="172"/>
      <c r="B136" s="37" t="s">
        <v>98</v>
      </c>
      <c r="C136" s="38"/>
      <c r="D136" s="36">
        <v>21.5</v>
      </c>
      <c r="E136" s="39">
        <v>-21.5</v>
      </c>
      <c r="F136" s="35">
        <f t="shared" si="3"/>
        <v>0</v>
      </c>
    </row>
    <row r="137" spans="1:14" ht="15.75" x14ac:dyDescent="0.25">
      <c r="A137" s="172"/>
      <c r="B137" s="37" t="s">
        <v>173</v>
      </c>
      <c r="C137" s="38"/>
      <c r="D137" s="36">
        <v>1966.3</v>
      </c>
      <c r="E137" s="39">
        <v>-797.6</v>
      </c>
      <c r="F137" s="35">
        <f t="shared" si="3"/>
        <v>1168.6999999999998</v>
      </c>
    </row>
    <row r="138" spans="1:14" s="11" customFormat="1" ht="15.75" x14ac:dyDescent="0.25">
      <c r="A138" s="172"/>
      <c r="B138" s="37" t="s">
        <v>68</v>
      </c>
      <c r="C138" s="38"/>
      <c r="D138" s="36">
        <v>25694.500000000004</v>
      </c>
      <c r="E138" s="39">
        <f>-3000-45</f>
        <v>-3045</v>
      </c>
      <c r="F138" s="35">
        <f t="shared" si="2"/>
        <v>22649.500000000004</v>
      </c>
      <c r="M138" s="5"/>
      <c r="N138" s="5"/>
    </row>
    <row r="139" spans="1:14" s="11" customFormat="1" ht="15.75" x14ac:dyDescent="0.25">
      <c r="A139" s="172"/>
      <c r="B139" s="37" t="s">
        <v>56</v>
      </c>
      <c r="C139" s="38"/>
      <c r="D139" s="36">
        <v>28130.7</v>
      </c>
      <c r="E139" s="39">
        <f>3000+1500</f>
        <v>4500</v>
      </c>
      <c r="F139" s="35">
        <f t="shared" si="2"/>
        <v>32630.7</v>
      </c>
      <c r="M139" s="5"/>
      <c r="N139" s="5"/>
    </row>
    <row r="140" spans="1:14" s="11" customFormat="1" ht="15.75" x14ac:dyDescent="0.25">
      <c r="A140" s="172"/>
      <c r="B140" s="37" t="s">
        <v>172</v>
      </c>
      <c r="C140" s="38"/>
      <c r="D140" s="36">
        <v>0</v>
      </c>
      <c r="E140" s="39">
        <v>45</v>
      </c>
      <c r="F140" s="35">
        <f>SUM(D140:E140)</f>
        <v>45</v>
      </c>
      <c r="M140" s="5"/>
      <c r="N140" s="5"/>
    </row>
    <row r="141" spans="1:14" ht="15.75" x14ac:dyDescent="0.25">
      <c r="A141" s="172"/>
      <c r="B141" s="37" t="s">
        <v>58</v>
      </c>
      <c r="C141" s="38"/>
      <c r="D141" s="36">
        <v>150</v>
      </c>
      <c r="E141" s="39">
        <v>-62.5</v>
      </c>
      <c r="F141" s="35">
        <f t="shared" si="2"/>
        <v>87.5</v>
      </c>
      <c r="M141" s="11"/>
    </row>
    <row r="142" spans="1:14" ht="15.75" x14ac:dyDescent="0.25">
      <c r="A142" s="172"/>
      <c r="B142" s="37" t="s">
        <v>62</v>
      </c>
      <c r="C142" s="38"/>
      <c r="D142" s="36">
        <v>0.30000000000000004</v>
      </c>
      <c r="E142" s="39">
        <v>0.3</v>
      </c>
      <c r="F142" s="35">
        <f t="shared" si="2"/>
        <v>0.60000000000000009</v>
      </c>
      <c r="M142" s="11"/>
    </row>
    <row r="143" spans="1:14" ht="15.75" x14ac:dyDescent="0.25">
      <c r="A143" s="172"/>
      <c r="B143" s="37" t="s">
        <v>63</v>
      </c>
      <c r="C143" s="38"/>
      <c r="D143" s="36">
        <v>54.8</v>
      </c>
      <c r="E143" s="39">
        <v>62.2</v>
      </c>
      <c r="F143" s="35">
        <f>SUM(D143:E143)</f>
        <v>117</v>
      </c>
      <c r="M143" s="11"/>
    </row>
    <row r="144" spans="1:14" ht="15.75" x14ac:dyDescent="0.25">
      <c r="A144" s="186" t="s">
        <v>109</v>
      </c>
      <c r="B144" s="69" t="s">
        <v>110</v>
      </c>
      <c r="C144" s="70"/>
      <c r="D144" s="36">
        <v>1225.4000000000001</v>
      </c>
      <c r="E144" s="39">
        <f>-332.9967-84.9794+27.62326</f>
        <v>-390.35283999999996</v>
      </c>
      <c r="F144" s="35">
        <f t="shared" si="2"/>
        <v>835.04716000000008</v>
      </c>
      <c r="M144" s="11"/>
    </row>
    <row r="145" spans="1:13" ht="15.75" x14ac:dyDescent="0.25">
      <c r="A145" s="186"/>
      <c r="B145" s="69" t="s">
        <v>111</v>
      </c>
      <c r="C145" s="70"/>
      <c r="D145" s="36">
        <v>10</v>
      </c>
      <c r="E145" s="39">
        <v>-1</v>
      </c>
      <c r="F145" s="35">
        <f t="shared" si="2"/>
        <v>9</v>
      </c>
      <c r="M145" s="11"/>
    </row>
    <row r="146" spans="1:13" ht="15.75" x14ac:dyDescent="0.25">
      <c r="A146" s="186"/>
      <c r="B146" s="69" t="s">
        <v>112</v>
      </c>
      <c r="C146" s="70"/>
      <c r="D146" s="36">
        <v>0</v>
      </c>
      <c r="E146" s="39">
        <f>332.9967+84.9794+1-27.62326</f>
        <v>391.35283999999996</v>
      </c>
      <c r="F146" s="35">
        <f t="shared" si="2"/>
        <v>391.35283999999996</v>
      </c>
      <c r="M146" s="11"/>
    </row>
    <row r="147" spans="1:13" ht="15.75" x14ac:dyDescent="0.25">
      <c r="A147" s="186"/>
      <c r="B147" s="69" t="s">
        <v>147</v>
      </c>
      <c r="C147" s="70"/>
      <c r="D147" s="36">
        <v>6150.1</v>
      </c>
      <c r="E147" s="39">
        <v>1301.5</v>
      </c>
      <c r="F147" s="35">
        <f t="shared" si="2"/>
        <v>7451.6</v>
      </c>
      <c r="M147" s="11"/>
    </row>
    <row r="148" spans="1:13" ht="15.75" x14ac:dyDescent="0.25">
      <c r="A148" s="186"/>
      <c r="B148" s="69" t="s">
        <v>148</v>
      </c>
      <c r="C148" s="70"/>
      <c r="D148" s="36">
        <v>717.4</v>
      </c>
      <c r="E148" s="39">
        <v>213.7</v>
      </c>
      <c r="F148" s="35">
        <f t="shared" si="2"/>
        <v>931.09999999999991</v>
      </c>
      <c r="M148" s="11"/>
    </row>
    <row r="149" spans="1:13" ht="15.75" x14ac:dyDescent="0.25">
      <c r="A149" s="186" t="s">
        <v>34</v>
      </c>
      <c r="B149" s="69" t="s">
        <v>122</v>
      </c>
      <c r="C149" s="70"/>
      <c r="D149" s="36">
        <v>1000</v>
      </c>
      <c r="E149" s="39">
        <v>-200</v>
      </c>
      <c r="F149" s="35">
        <f t="shared" si="2"/>
        <v>800</v>
      </c>
      <c r="M149" s="11"/>
    </row>
    <row r="150" spans="1:13" ht="15.75" x14ac:dyDescent="0.25">
      <c r="A150" s="186"/>
      <c r="B150" s="187" t="s">
        <v>123</v>
      </c>
      <c r="C150" s="188"/>
      <c r="D150" s="36">
        <v>500.6</v>
      </c>
      <c r="E150" s="39">
        <v>-400</v>
      </c>
      <c r="F150" s="35">
        <f t="shared" si="2"/>
        <v>100.60000000000002</v>
      </c>
      <c r="M150" s="11"/>
    </row>
    <row r="151" spans="1:13" ht="15.75" x14ac:dyDescent="0.25">
      <c r="A151" s="186"/>
      <c r="B151" s="184" t="s">
        <v>125</v>
      </c>
      <c r="C151" s="185"/>
      <c r="D151" s="36">
        <v>100</v>
      </c>
      <c r="E151" s="39">
        <v>900</v>
      </c>
      <c r="F151" s="35">
        <f t="shared" si="2"/>
        <v>1000</v>
      </c>
      <c r="M151" s="11"/>
    </row>
    <row r="152" spans="1:13" ht="15.75" x14ac:dyDescent="0.25">
      <c r="A152" s="186"/>
      <c r="B152" s="184" t="s">
        <v>152</v>
      </c>
      <c r="C152" s="185"/>
      <c r="D152" s="36">
        <v>5203.1000000000004</v>
      </c>
      <c r="E152" s="39">
        <v>1554.3</v>
      </c>
      <c r="F152" s="35">
        <f>SUM(D152:E152)</f>
        <v>6757.4000000000005</v>
      </c>
      <c r="M152" s="11"/>
    </row>
    <row r="153" spans="1:13" ht="15.75" x14ac:dyDescent="0.25">
      <c r="A153" s="186"/>
      <c r="B153" s="184" t="s">
        <v>192</v>
      </c>
      <c r="C153" s="185"/>
      <c r="D153" s="36">
        <v>650.9</v>
      </c>
      <c r="E153" s="39">
        <v>220</v>
      </c>
      <c r="F153" s="35">
        <f>SUM(D153:E153)</f>
        <v>870.9</v>
      </c>
      <c r="M153" s="11"/>
    </row>
    <row r="154" spans="1:13" ht="15.75" x14ac:dyDescent="0.25">
      <c r="A154" s="186"/>
      <c r="B154" s="184" t="s">
        <v>124</v>
      </c>
      <c r="C154" s="185"/>
      <c r="D154" s="36">
        <v>1000</v>
      </c>
      <c r="E154" s="39">
        <f>-300-220</f>
        <v>-520</v>
      </c>
      <c r="F154" s="35">
        <f t="shared" si="2"/>
        <v>480</v>
      </c>
      <c r="M154" s="11"/>
    </row>
    <row r="155" spans="1:13" s="11" customFormat="1" ht="15.75" x14ac:dyDescent="0.25">
      <c r="A155" s="171" t="s">
        <v>8</v>
      </c>
      <c r="B155" s="37" t="s">
        <v>180</v>
      </c>
      <c r="C155" s="38"/>
      <c r="D155" s="39">
        <v>7844</v>
      </c>
      <c r="E155" s="39">
        <v>374.3</v>
      </c>
      <c r="F155" s="40">
        <f>SUM(D155:E155)</f>
        <v>8218.2999999999993</v>
      </c>
      <c r="M155" s="5"/>
    </row>
    <row r="156" spans="1:13" s="11" customFormat="1" ht="15.75" x14ac:dyDescent="0.25">
      <c r="A156" s="172"/>
      <c r="B156" s="37" t="s">
        <v>119</v>
      </c>
      <c r="C156" s="38"/>
      <c r="D156" s="39">
        <v>7847.2</v>
      </c>
      <c r="E156" s="39">
        <v>-82</v>
      </c>
      <c r="F156" s="40">
        <f t="shared" si="2"/>
        <v>7765.2</v>
      </c>
      <c r="M156" s="5"/>
    </row>
    <row r="157" spans="1:13" s="11" customFormat="1" ht="15.75" x14ac:dyDescent="0.25">
      <c r="A157" s="172"/>
      <c r="B157" s="37" t="s">
        <v>181</v>
      </c>
      <c r="C157" s="38"/>
      <c r="D157" s="39">
        <v>7765.2</v>
      </c>
      <c r="E157" s="39">
        <f>-374.3+30-5</f>
        <v>-349.3</v>
      </c>
      <c r="F157" s="40">
        <f t="shared" si="2"/>
        <v>7415.9</v>
      </c>
      <c r="M157" s="5"/>
    </row>
    <row r="158" spans="1:13" s="11" customFormat="1" ht="15.75" x14ac:dyDescent="0.25">
      <c r="A158" s="172"/>
      <c r="B158" s="37" t="s">
        <v>120</v>
      </c>
      <c r="C158" s="38"/>
      <c r="D158" s="39">
        <v>0</v>
      </c>
      <c r="E158" s="39">
        <v>82</v>
      </c>
      <c r="F158" s="40">
        <f t="shared" si="2"/>
        <v>82</v>
      </c>
      <c r="M158" s="5"/>
    </row>
    <row r="159" spans="1:13" s="11" customFormat="1" ht="15.75" x14ac:dyDescent="0.25">
      <c r="A159" s="172"/>
      <c r="B159" s="37" t="s">
        <v>43</v>
      </c>
      <c r="C159" s="38"/>
      <c r="D159" s="39">
        <v>56365.4</v>
      </c>
      <c r="E159" s="39">
        <f>-310+300+485+20</f>
        <v>495</v>
      </c>
      <c r="F159" s="40">
        <f t="shared" si="2"/>
        <v>56860.4</v>
      </c>
      <c r="M159" s="5"/>
    </row>
    <row r="160" spans="1:13" s="11" customFormat="1" ht="15.75" x14ac:dyDescent="0.25">
      <c r="A160" s="172"/>
      <c r="B160" s="37" t="s">
        <v>185</v>
      </c>
      <c r="C160" s="38"/>
      <c r="D160" s="39">
        <v>97199.6</v>
      </c>
      <c r="E160" s="39">
        <v>-230</v>
      </c>
      <c r="F160" s="40">
        <f t="shared" ref="F160:F170" si="4">SUM(D160:E160)</f>
        <v>96969.600000000006</v>
      </c>
      <c r="M160" s="5"/>
    </row>
    <row r="161" spans="1:13" s="11" customFormat="1" ht="15.75" x14ac:dyDescent="0.25">
      <c r="A161" s="172"/>
      <c r="B161" s="37" t="s">
        <v>178</v>
      </c>
      <c r="C161" s="38"/>
      <c r="D161" s="39">
        <v>10876.8</v>
      </c>
      <c r="E161" s="39">
        <f>250-15</f>
        <v>235</v>
      </c>
      <c r="F161" s="40">
        <f t="shared" si="4"/>
        <v>11111.8</v>
      </c>
      <c r="M161" s="5"/>
    </row>
    <row r="162" spans="1:13" s="11" customFormat="1" ht="15.75" x14ac:dyDescent="0.25">
      <c r="A162" s="172"/>
      <c r="B162" s="37" t="s">
        <v>39</v>
      </c>
      <c r="C162" s="38"/>
      <c r="D162" s="39">
        <v>15547.7</v>
      </c>
      <c r="E162" s="39">
        <v>-80</v>
      </c>
      <c r="F162" s="40">
        <f t="shared" si="4"/>
        <v>15467.7</v>
      </c>
      <c r="M162" s="5"/>
    </row>
    <row r="163" spans="1:13" s="11" customFormat="1" ht="15.75" x14ac:dyDescent="0.25">
      <c r="A163" s="172"/>
      <c r="B163" s="37" t="s">
        <v>183</v>
      </c>
      <c r="C163" s="38"/>
      <c r="D163" s="39">
        <v>2004</v>
      </c>
      <c r="E163" s="39">
        <v>80</v>
      </c>
      <c r="F163" s="40">
        <f t="shared" si="4"/>
        <v>2084</v>
      </c>
      <c r="M163" s="5"/>
    </row>
    <row r="164" spans="1:13" s="11" customFormat="1" ht="15.75" x14ac:dyDescent="0.25">
      <c r="A164" s="172"/>
      <c r="B164" s="37" t="s">
        <v>179</v>
      </c>
      <c r="C164" s="38"/>
      <c r="D164" s="39">
        <v>13462.5</v>
      </c>
      <c r="E164" s="39">
        <f>60-35</f>
        <v>25</v>
      </c>
      <c r="F164" s="40">
        <f t="shared" si="4"/>
        <v>13487.5</v>
      </c>
      <c r="M164" s="5"/>
    </row>
    <row r="165" spans="1:13" s="11" customFormat="1" ht="15.75" x14ac:dyDescent="0.25">
      <c r="A165" s="172"/>
      <c r="B165" s="37" t="s">
        <v>52</v>
      </c>
      <c r="C165" s="38"/>
      <c r="D165" s="39">
        <v>295.89999999999998</v>
      </c>
      <c r="E165" s="39">
        <v>45</v>
      </c>
      <c r="F165" s="35">
        <f t="shared" si="4"/>
        <v>340.9</v>
      </c>
      <c r="M165" s="5"/>
    </row>
    <row r="166" spans="1:13" ht="15.75" x14ac:dyDescent="0.25">
      <c r="A166" s="172"/>
      <c r="B166" s="184" t="s">
        <v>142</v>
      </c>
      <c r="C166" s="185"/>
      <c r="D166" s="36">
        <v>2640.2</v>
      </c>
      <c r="E166" s="39">
        <v>670.6</v>
      </c>
      <c r="F166" s="40">
        <f t="shared" si="4"/>
        <v>3310.7999999999997</v>
      </c>
    </row>
    <row r="167" spans="1:13" ht="15.75" x14ac:dyDescent="0.25">
      <c r="A167" s="172"/>
      <c r="B167" s="184" t="s">
        <v>177</v>
      </c>
      <c r="C167" s="185"/>
      <c r="D167" s="36">
        <v>4080.5</v>
      </c>
      <c r="E167" s="39">
        <v>1</v>
      </c>
      <c r="F167" s="40">
        <f t="shared" si="4"/>
        <v>4081.5</v>
      </c>
    </row>
    <row r="168" spans="1:13" ht="15.75" x14ac:dyDescent="0.25">
      <c r="A168" s="172"/>
      <c r="B168" s="184" t="s">
        <v>176</v>
      </c>
      <c r="C168" s="185"/>
      <c r="D168" s="36">
        <v>397</v>
      </c>
      <c r="E168" s="39">
        <v>-1</v>
      </c>
      <c r="F168" s="40">
        <f t="shared" si="4"/>
        <v>396</v>
      </c>
    </row>
    <row r="169" spans="1:13" ht="15.75" x14ac:dyDescent="0.25">
      <c r="A169" s="174"/>
      <c r="B169" s="184" t="s">
        <v>182</v>
      </c>
      <c r="C169" s="185"/>
      <c r="D169" s="36">
        <v>29401.1</v>
      </c>
      <c r="E169" s="39">
        <f>-300-250</f>
        <v>-550</v>
      </c>
      <c r="F169" s="40">
        <f t="shared" si="4"/>
        <v>28851.1</v>
      </c>
    </row>
    <row r="170" spans="1:13" ht="16.5" customHeight="1" x14ac:dyDescent="0.25">
      <c r="A170" s="186" t="s">
        <v>14</v>
      </c>
      <c r="B170" s="184" t="s">
        <v>54</v>
      </c>
      <c r="C170" s="185"/>
      <c r="D170" s="36">
        <v>16574.900000000001</v>
      </c>
      <c r="E170" s="39">
        <v>-16</v>
      </c>
      <c r="F170" s="35">
        <f t="shared" si="4"/>
        <v>16558.900000000001</v>
      </c>
    </row>
    <row r="171" spans="1:13" ht="15.75" x14ac:dyDescent="0.25">
      <c r="A171" s="186"/>
      <c r="B171" s="184" t="s">
        <v>40</v>
      </c>
      <c r="C171" s="185"/>
      <c r="D171" s="36">
        <v>31658.2</v>
      </c>
      <c r="E171" s="39">
        <f>758.1+15.6+84.6+1675.9</f>
        <v>2534.2000000000003</v>
      </c>
      <c r="F171" s="35">
        <f t="shared" si="2"/>
        <v>34192.400000000001</v>
      </c>
    </row>
    <row r="172" spans="1:13" ht="15.75" x14ac:dyDescent="0.25">
      <c r="A172" s="186"/>
      <c r="B172" s="184" t="s">
        <v>42</v>
      </c>
      <c r="C172" s="185"/>
      <c r="D172" s="36">
        <v>2042.0000000000002</v>
      </c>
      <c r="E172" s="39">
        <f>47.2+2.2+104.5</f>
        <v>153.9</v>
      </c>
      <c r="F172" s="35">
        <f t="shared" si="2"/>
        <v>2195.9</v>
      </c>
    </row>
    <row r="173" spans="1:13" ht="15.75" x14ac:dyDescent="0.25">
      <c r="A173" s="186"/>
      <c r="B173" s="37" t="s">
        <v>53</v>
      </c>
      <c r="C173" s="38"/>
      <c r="D173" s="36">
        <v>10560.5</v>
      </c>
      <c r="E173" s="39">
        <f>269.6-1.8+596</f>
        <v>863.8</v>
      </c>
      <c r="F173" s="35">
        <f t="shared" si="2"/>
        <v>11424.3</v>
      </c>
    </row>
    <row r="174" spans="1:13" ht="15.75" x14ac:dyDescent="0.25">
      <c r="A174" s="186"/>
      <c r="B174" s="184" t="s">
        <v>73</v>
      </c>
      <c r="C174" s="185"/>
      <c r="D174" s="36">
        <v>731.69999999999993</v>
      </c>
      <c r="E174" s="39">
        <v>213.6</v>
      </c>
      <c r="F174" s="35">
        <f t="shared" si="2"/>
        <v>945.3</v>
      </c>
    </row>
    <row r="175" spans="1:13" ht="15.75" x14ac:dyDescent="0.25">
      <c r="A175" s="186"/>
      <c r="B175" s="184" t="s">
        <v>41</v>
      </c>
      <c r="C175" s="185"/>
      <c r="D175" s="36">
        <v>1922.9</v>
      </c>
      <c r="E175" s="39">
        <f>55.6+120.7</f>
        <v>176.3</v>
      </c>
      <c r="F175" s="35">
        <f t="shared" si="2"/>
        <v>2099.2000000000003</v>
      </c>
    </row>
    <row r="176" spans="1:13" ht="15.75" hidden="1" customHeight="1" x14ac:dyDescent="0.25">
      <c r="A176" s="71"/>
      <c r="B176" s="184" t="s">
        <v>74</v>
      </c>
      <c r="C176" s="185"/>
      <c r="D176" s="36">
        <v>0</v>
      </c>
      <c r="E176" s="39"/>
      <c r="F176" s="35">
        <f t="shared" si="2"/>
        <v>0</v>
      </c>
    </row>
    <row r="177" spans="1:6" ht="15.75" x14ac:dyDescent="0.25">
      <c r="A177" s="171" t="s">
        <v>25</v>
      </c>
      <c r="B177" s="184" t="s">
        <v>116</v>
      </c>
      <c r="C177" s="185"/>
      <c r="D177" s="39">
        <v>16</v>
      </c>
      <c r="E177" s="39">
        <v>1.22</v>
      </c>
      <c r="F177" s="35">
        <f t="shared" si="2"/>
        <v>17.22</v>
      </c>
    </row>
    <row r="178" spans="1:6" ht="15.75" x14ac:dyDescent="0.25">
      <c r="A178" s="172"/>
      <c r="B178" s="184" t="s">
        <v>115</v>
      </c>
      <c r="C178" s="185"/>
      <c r="D178" s="39">
        <v>15</v>
      </c>
      <c r="E178" s="39">
        <v>-1.22</v>
      </c>
      <c r="F178" s="35">
        <f t="shared" si="2"/>
        <v>13.78</v>
      </c>
    </row>
    <row r="179" spans="1:6" ht="15.75" x14ac:dyDescent="0.25">
      <c r="A179" s="172"/>
      <c r="B179" s="184" t="s">
        <v>101</v>
      </c>
      <c r="C179" s="185"/>
      <c r="D179" s="39">
        <v>5945.1</v>
      </c>
      <c r="E179" s="39">
        <v>-34.1</v>
      </c>
      <c r="F179" s="35">
        <f t="shared" si="2"/>
        <v>5911</v>
      </c>
    </row>
    <row r="180" spans="1:6" ht="15.75" x14ac:dyDescent="0.25">
      <c r="A180" s="172"/>
      <c r="B180" s="184" t="s">
        <v>100</v>
      </c>
      <c r="C180" s="185"/>
      <c r="D180" s="39">
        <v>222</v>
      </c>
      <c r="E180" s="39">
        <v>34.1</v>
      </c>
      <c r="F180" s="35">
        <f t="shared" si="2"/>
        <v>256.10000000000002</v>
      </c>
    </row>
    <row r="181" spans="1:6" ht="15.75" x14ac:dyDescent="0.25">
      <c r="A181" s="172"/>
      <c r="B181" s="37" t="s">
        <v>59</v>
      </c>
      <c r="C181" s="38"/>
      <c r="D181" s="39">
        <v>439.4</v>
      </c>
      <c r="E181" s="39">
        <v>14.7</v>
      </c>
      <c r="F181" s="35">
        <f t="shared" si="2"/>
        <v>454.09999999999997</v>
      </c>
    </row>
    <row r="182" spans="1:6" ht="15.75" x14ac:dyDescent="0.25">
      <c r="A182" s="174"/>
      <c r="B182" s="37" t="s">
        <v>60</v>
      </c>
      <c r="C182" s="38"/>
      <c r="D182" s="39">
        <v>1055.5</v>
      </c>
      <c r="E182" s="39">
        <v>-14.7</v>
      </c>
      <c r="F182" s="35">
        <f t="shared" si="2"/>
        <v>1040.8</v>
      </c>
    </row>
    <row r="183" spans="1:6" ht="15.75" x14ac:dyDescent="0.25">
      <c r="A183" s="44" t="s">
        <v>36</v>
      </c>
      <c r="B183" s="184" t="s">
        <v>71</v>
      </c>
      <c r="C183" s="185"/>
      <c r="D183" s="36">
        <v>1316.8</v>
      </c>
      <c r="E183" s="39">
        <v>797.6</v>
      </c>
      <c r="F183" s="35">
        <f>SUM(D183:E183)</f>
        <v>2114.4</v>
      </c>
    </row>
    <row r="184" spans="1:6" ht="15.75" x14ac:dyDescent="0.25">
      <c r="A184" s="171" t="s">
        <v>26</v>
      </c>
      <c r="B184" s="184" t="s">
        <v>93</v>
      </c>
      <c r="C184" s="185"/>
      <c r="D184" s="36">
        <v>790.2</v>
      </c>
      <c r="E184" s="39">
        <v>195.8</v>
      </c>
      <c r="F184" s="40">
        <f t="shared" si="2"/>
        <v>986</v>
      </c>
    </row>
    <row r="185" spans="1:6" ht="15.75" x14ac:dyDescent="0.25">
      <c r="A185" s="172"/>
      <c r="B185" s="184" t="s">
        <v>65</v>
      </c>
      <c r="C185" s="185"/>
      <c r="D185" s="36">
        <v>87823.2</v>
      </c>
      <c r="E185" s="39">
        <v>-3000</v>
      </c>
      <c r="F185" s="40">
        <f t="shared" si="2"/>
        <v>84823.2</v>
      </c>
    </row>
    <row r="186" spans="1:6" ht="15.75" x14ac:dyDescent="0.25">
      <c r="A186" s="172"/>
      <c r="B186" s="184" t="s">
        <v>97</v>
      </c>
      <c r="C186" s="185"/>
      <c r="D186" s="36">
        <v>5736</v>
      </c>
      <c r="E186" s="39">
        <v>3000</v>
      </c>
      <c r="F186" s="40">
        <f t="shared" si="2"/>
        <v>8736</v>
      </c>
    </row>
    <row r="187" spans="1:6" ht="15.75" x14ac:dyDescent="0.25">
      <c r="A187" s="172"/>
      <c r="B187" s="37" t="s">
        <v>75</v>
      </c>
      <c r="C187" s="38"/>
      <c r="D187" s="36">
        <v>26090</v>
      </c>
      <c r="E187" s="39">
        <v>43000</v>
      </c>
      <c r="F187" s="40">
        <f t="shared" si="2"/>
        <v>69090</v>
      </c>
    </row>
    <row r="188" spans="1:6" ht="15.75" x14ac:dyDescent="0.25">
      <c r="A188" s="172"/>
      <c r="B188" s="37" t="s">
        <v>55</v>
      </c>
      <c r="C188" s="38"/>
      <c r="D188" s="36">
        <v>118474.4</v>
      </c>
      <c r="E188" s="39">
        <v>-43000</v>
      </c>
      <c r="F188" s="40">
        <f t="shared" si="2"/>
        <v>75474.399999999994</v>
      </c>
    </row>
    <row r="189" spans="1:6" ht="15.75" x14ac:dyDescent="0.25">
      <c r="A189" s="172"/>
      <c r="B189" s="37" t="s">
        <v>94</v>
      </c>
      <c r="C189" s="38"/>
      <c r="D189" s="36">
        <v>1064.3</v>
      </c>
      <c r="E189" s="39">
        <v>-1.1000000000000001</v>
      </c>
      <c r="F189" s="40">
        <f t="shared" si="2"/>
        <v>1063.2</v>
      </c>
    </row>
    <row r="190" spans="1:6" ht="15.75" x14ac:dyDescent="0.25">
      <c r="A190" s="172"/>
      <c r="B190" s="37" t="s">
        <v>99</v>
      </c>
      <c r="C190" s="38"/>
      <c r="D190" s="36">
        <v>82.3</v>
      </c>
      <c r="E190" s="39">
        <v>1.1000000000000001</v>
      </c>
      <c r="F190" s="40">
        <f t="shared" si="2"/>
        <v>83.399999999999991</v>
      </c>
    </row>
    <row r="191" spans="1:6" ht="15.75" x14ac:dyDescent="0.25">
      <c r="A191" s="172"/>
      <c r="B191" s="184" t="s">
        <v>145</v>
      </c>
      <c r="C191" s="185"/>
      <c r="D191" s="36">
        <v>3115.8</v>
      </c>
      <c r="E191" s="39">
        <v>930.4</v>
      </c>
      <c r="F191" s="40">
        <f t="shared" si="2"/>
        <v>4046.2000000000003</v>
      </c>
    </row>
    <row r="192" spans="1:6" ht="15.75" x14ac:dyDescent="0.25">
      <c r="A192" s="172"/>
      <c r="B192" s="184" t="s">
        <v>99</v>
      </c>
      <c r="C192" s="185"/>
      <c r="D192" s="36">
        <v>150.4</v>
      </c>
      <c r="E192" s="39">
        <v>83.4</v>
      </c>
      <c r="F192" s="40">
        <f t="shared" si="2"/>
        <v>233.8</v>
      </c>
    </row>
    <row r="193" spans="1:13" ht="15.75" x14ac:dyDescent="0.25">
      <c r="A193" s="172"/>
      <c r="B193" s="184" t="s">
        <v>144</v>
      </c>
      <c r="C193" s="185"/>
      <c r="D193" s="36">
        <v>4663.7</v>
      </c>
      <c r="E193" s="39">
        <v>1393.2</v>
      </c>
      <c r="F193" s="40">
        <f t="shared" si="2"/>
        <v>6056.9</v>
      </c>
    </row>
    <row r="194" spans="1:13" ht="15.75" x14ac:dyDescent="0.25">
      <c r="A194" s="172"/>
      <c r="B194" s="184" t="s">
        <v>146</v>
      </c>
      <c r="C194" s="185"/>
      <c r="D194" s="36">
        <v>9188.4</v>
      </c>
      <c r="E194" s="39">
        <v>2190.4</v>
      </c>
      <c r="F194" s="40">
        <f t="shared" si="2"/>
        <v>11378.8</v>
      </c>
    </row>
    <row r="195" spans="1:13" ht="15.75" x14ac:dyDescent="0.25">
      <c r="A195" s="7" t="s">
        <v>6</v>
      </c>
      <c r="B195" s="175"/>
      <c r="C195" s="175"/>
      <c r="D195" s="8" t="s">
        <v>20</v>
      </c>
      <c r="E195" s="9">
        <f>SUM(E121:E194)</f>
        <v>28966.100000000002</v>
      </c>
      <c r="F195" s="8"/>
      <c r="G195" s="5">
        <f>24924+45+1500+2497.1</f>
        <v>28966.1</v>
      </c>
      <c r="H195" s="59">
        <f>G195-E195</f>
        <v>0</v>
      </c>
      <c r="I195" s="5">
        <f>24924-83.4-2190.4-1589-930.4-670.6-1301.5-213.7-7447-313-849-1543.8-4609.7-219.6-64.5-1554.3-213.6-1130.5</f>
        <v>-3.4106051316484809E-12</v>
      </c>
      <c r="J195" s="16">
        <f>I195-H195</f>
        <v>-3.4106051316484809E-12</v>
      </c>
    </row>
    <row r="196" spans="1:13" ht="7.5" customHeight="1" x14ac:dyDescent="0.25">
      <c r="A196" s="2"/>
      <c r="B196" s="3"/>
      <c r="C196" s="3"/>
      <c r="D196" s="4"/>
      <c r="E196" s="1"/>
      <c r="F196" s="4"/>
    </row>
    <row r="197" spans="1:13" s="61" customFormat="1" ht="96.75" customHeight="1" x14ac:dyDescent="0.25">
      <c r="A197" s="201" t="s">
        <v>241</v>
      </c>
      <c r="B197" s="201"/>
      <c r="C197" s="201"/>
      <c r="D197" s="201"/>
      <c r="E197" s="201"/>
      <c r="F197" s="201"/>
    </row>
    <row r="198" spans="1:13" ht="16.5" customHeight="1" x14ac:dyDescent="0.25">
      <c r="A198" s="201" t="s">
        <v>232</v>
      </c>
      <c r="B198" s="201"/>
      <c r="C198" s="201"/>
      <c r="D198" s="201"/>
      <c r="E198" s="201"/>
      <c r="F198" s="201"/>
      <c r="G198" s="45"/>
      <c r="H198" s="45"/>
      <c r="I198" s="45"/>
      <c r="J198" s="45"/>
      <c r="K198" s="45"/>
      <c r="L198" s="45"/>
      <c r="M198" s="45"/>
    </row>
    <row r="199" spans="1:13" s="58" customFormat="1" ht="11.25" x14ac:dyDescent="0.2">
      <c r="A199" s="56"/>
      <c r="B199" s="56"/>
      <c r="C199" s="56"/>
      <c r="D199" s="56"/>
      <c r="E199" s="56"/>
      <c r="F199" s="57" t="s">
        <v>7</v>
      </c>
    </row>
    <row r="200" spans="1:13" ht="15.75" customHeight="1" x14ac:dyDescent="0.25">
      <c r="A200" s="211" t="s">
        <v>10</v>
      </c>
      <c r="B200" s="212"/>
      <c r="C200" s="213" t="s">
        <v>11</v>
      </c>
      <c r="D200" s="213"/>
      <c r="E200" s="213"/>
      <c r="F200" s="213"/>
    </row>
    <row r="201" spans="1:13" ht="17.25" customHeight="1" x14ac:dyDescent="0.25">
      <c r="A201" s="41" t="s">
        <v>12</v>
      </c>
      <c r="B201" s="72">
        <v>33.5</v>
      </c>
      <c r="C201" s="189" t="s">
        <v>27</v>
      </c>
      <c r="D201" s="190"/>
      <c r="E201" s="191"/>
      <c r="F201" s="208">
        <f>E61</f>
        <v>-6208.4937599999994</v>
      </c>
      <c r="M201" s="43"/>
    </row>
    <row r="202" spans="1:13" ht="15.75" customHeight="1" x14ac:dyDescent="0.2">
      <c r="A202" s="42" t="s">
        <v>13</v>
      </c>
      <c r="B202" s="72">
        <f>-7537.9+30.91729+544.98895</f>
        <v>-6961.9937599999994</v>
      </c>
      <c r="C202" s="192"/>
      <c r="D202" s="193"/>
      <c r="E202" s="194"/>
      <c r="F202" s="209"/>
    </row>
    <row r="203" spans="1:13" ht="16.5" customHeight="1" x14ac:dyDescent="0.25">
      <c r="A203" s="41" t="s">
        <v>28</v>
      </c>
      <c r="B203" s="72">
        <v>720</v>
      </c>
      <c r="C203" s="195"/>
      <c r="D203" s="196"/>
      <c r="E203" s="197"/>
      <c r="F203" s="210"/>
      <c r="G203" s="5">
        <f>-48.5-182.6+30.6-370.6-1713.1+150+1563.1+8173+48.5</f>
        <v>7650.4</v>
      </c>
      <c r="H203" s="16">
        <f>G203-E195</f>
        <v>-21315.700000000004</v>
      </c>
    </row>
    <row r="204" spans="1:13" ht="16.5" customHeight="1" x14ac:dyDescent="0.2">
      <c r="A204" s="198" t="s">
        <v>153</v>
      </c>
      <c r="B204" s="208">
        <v>24924</v>
      </c>
      <c r="C204" s="202" t="s">
        <v>154</v>
      </c>
      <c r="D204" s="203"/>
      <c r="E204" s="204"/>
      <c r="F204" s="74">
        <v>7447</v>
      </c>
      <c r="H204" s="16"/>
    </row>
    <row r="205" spans="1:13" ht="16.5" customHeight="1" x14ac:dyDescent="0.2">
      <c r="A205" s="199"/>
      <c r="B205" s="209"/>
      <c r="C205" s="202" t="s">
        <v>168</v>
      </c>
      <c r="D205" s="203"/>
      <c r="E205" s="204"/>
      <c r="F205" s="74">
        <f>313-84.6</f>
        <v>228.4</v>
      </c>
      <c r="H205" s="16"/>
    </row>
    <row r="206" spans="1:13" ht="16.5" customHeight="1" x14ac:dyDescent="0.2">
      <c r="A206" s="199"/>
      <c r="B206" s="209"/>
      <c r="C206" s="202" t="s">
        <v>155</v>
      </c>
      <c r="D206" s="203"/>
      <c r="E206" s="204"/>
      <c r="F206" s="74">
        <v>849</v>
      </c>
      <c r="H206" s="16"/>
    </row>
    <row r="207" spans="1:13" ht="16.5" customHeight="1" x14ac:dyDescent="0.2">
      <c r="A207" s="199"/>
      <c r="B207" s="209"/>
      <c r="C207" s="202" t="s">
        <v>156</v>
      </c>
      <c r="D207" s="203"/>
      <c r="E207" s="204"/>
      <c r="F207" s="74">
        <v>1543.8</v>
      </c>
      <c r="H207" s="16"/>
    </row>
    <row r="208" spans="1:13" ht="16.5" customHeight="1" x14ac:dyDescent="0.2">
      <c r="A208" s="199"/>
      <c r="B208" s="209"/>
      <c r="C208" s="202" t="s">
        <v>161</v>
      </c>
      <c r="D208" s="203"/>
      <c r="E208" s="204"/>
      <c r="F208" s="74">
        <v>1554.3</v>
      </c>
      <c r="H208" s="16"/>
    </row>
    <row r="209" spans="1:13" ht="16.5" customHeight="1" x14ac:dyDescent="0.2">
      <c r="A209" s="199"/>
      <c r="B209" s="209"/>
      <c r="C209" s="202" t="s">
        <v>157</v>
      </c>
      <c r="D209" s="203"/>
      <c r="E209" s="204"/>
      <c r="F209" s="74">
        <v>213.7</v>
      </c>
      <c r="H209" s="16"/>
    </row>
    <row r="210" spans="1:13" ht="16.5" customHeight="1" x14ac:dyDescent="0.2">
      <c r="A210" s="199"/>
      <c r="B210" s="209"/>
      <c r="C210" s="202" t="s">
        <v>158</v>
      </c>
      <c r="D210" s="203"/>
      <c r="E210" s="204"/>
      <c r="F210" s="74">
        <v>1301.5</v>
      </c>
      <c r="H210" s="16"/>
    </row>
    <row r="211" spans="1:13" ht="33" customHeight="1" x14ac:dyDescent="0.2">
      <c r="A211" s="199"/>
      <c r="B211" s="209"/>
      <c r="C211" s="202" t="s">
        <v>159</v>
      </c>
      <c r="D211" s="203"/>
      <c r="E211" s="204"/>
      <c r="F211" s="74">
        <v>213.6</v>
      </c>
      <c r="H211" s="16"/>
    </row>
    <row r="212" spans="1:13" ht="14.25" customHeight="1" x14ac:dyDescent="0.2">
      <c r="A212" s="199"/>
      <c r="B212" s="209"/>
      <c r="C212" s="202" t="s">
        <v>160</v>
      </c>
      <c r="D212" s="203"/>
      <c r="E212" s="204"/>
      <c r="F212" s="74">
        <f>1130.5+84.6</f>
        <v>1215.0999999999999</v>
      </c>
      <c r="H212" s="16"/>
    </row>
    <row r="213" spans="1:13" ht="33" customHeight="1" x14ac:dyDescent="0.2">
      <c r="A213" s="199"/>
      <c r="B213" s="209"/>
      <c r="C213" s="202" t="s">
        <v>162</v>
      </c>
      <c r="D213" s="203"/>
      <c r="E213" s="204"/>
      <c r="F213" s="74">
        <v>670.6</v>
      </c>
      <c r="H213" s="16"/>
    </row>
    <row r="214" spans="1:13" ht="16.5" customHeight="1" x14ac:dyDescent="0.2">
      <c r="A214" s="199"/>
      <c r="B214" s="209"/>
      <c r="C214" s="202" t="s">
        <v>163</v>
      </c>
      <c r="D214" s="203"/>
      <c r="E214" s="204"/>
      <c r="F214" s="74">
        <v>930.4</v>
      </c>
      <c r="H214" s="16"/>
    </row>
    <row r="215" spans="1:13" ht="16.5" customHeight="1" x14ac:dyDescent="0.2">
      <c r="A215" s="199"/>
      <c r="B215" s="209"/>
      <c r="C215" s="202" t="s">
        <v>164</v>
      </c>
      <c r="D215" s="203"/>
      <c r="E215" s="204"/>
      <c r="F215" s="74">
        <v>1589</v>
      </c>
      <c r="H215" s="16"/>
    </row>
    <row r="216" spans="1:13" ht="16.5" customHeight="1" x14ac:dyDescent="0.2">
      <c r="A216" s="199"/>
      <c r="B216" s="209"/>
      <c r="C216" s="202" t="s">
        <v>163</v>
      </c>
      <c r="D216" s="203"/>
      <c r="E216" s="204"/>
      <c r="F216" s="74">
        <v>2190.4</v>
      </c>
      <c r="H216" s="16"/>
    </row>
    <row r="217" spans="1:13" ht="16.5" customHeight="1" x14ac:dyDescent="0.2">
      <c r="A217" s="199"/>
      <c r="B217" s="209"/>
      <c r="C217" s="202" t="s">
        <v>165</v>
      </c>
      <c r="D217" s="203"/>
      <c r="E217" s="204"/>
      <c r="F217" s="74">
        <v>4609.7</v>
      </c>
      <c r="H217" s="16"/>
    </row>
    <row r="218" spans="1:13" ht="16.5" customHeight="1" x14ac:dyDescent="0.2">
      <c r="A218" s="199"/>
      <c r="B218" s="209"/>
      <c r="C218" s="205" t="s">
        <v>88</v>
      </c>
      <c r="D218" s="206"/>
      <c r="E218" s="207"/>
      <c r="F218" s="74">
        <v>64.5</v>
      </c>
      <c r="H218" s="16"/>
    </row>
    <row r="219" spans="1:13" ht="16.5" customHeight="1" x14ac:dyDescent="0.2">
      <c r="A219" s="199"/>
      <c r="B219" s="209"/>
      <c r="C219" s="202" t="s">
        <v>166</v>
      </c>
      <c r="D219" s="203"/>
      <c r="E219" s="204"/>
      <c r="F219" s="74">
        <v>219.6</v>
      </c>
      <c r="H219" s="16"/>
    </row>
    <row r="220" spans="1:13" ht="16.5" customHeight="1" x14ac:dyDescent="0.2">
      <c r="A220" s="200"/>
      <c r="B220" s="210"/>
      <c r="C220" s="202" t="s">
        <v>167</v>
      </c>
      <c r="D220" s="203"/>
      <c r="E220" s="204"/>
      <c r="F220" s="74">
        <v>83.4</v>
      </c>
      <c r="H220" s="16"/>
    </row>
    <row r="221" spans="1:13" ht="48" customHeight="1" x14ac:dyDescent="0.2">
      <c r="A221" s="60" t="s">
        <v>84</v>
      </c>
      <c r="B221" s="73">
        <v>65</v>
      </c>
      <c r="C221" s="202" t="s">
        <v>170</v>
      </c>
      <c r="D221" s="203"/>
      <c r="E221" s="204"/>
      <c r="F221" s="72">
        <v>45</v>
      </c>
    </row>
    <row r="222" spans="1:13" ht="16.5" customHeight="1" x14ac:dyDescent="0.2">
      <c r="A222" s="60" t="s">
        <v>22</v>
      </c>
      <c r="B222" s="73">
        <v>1500</v>
      </c>
      <c r="C222" s="202" t="s">
        <v>89</v>
      </c>
      <c r="D222" s="203"/>
      <c r="E222" s="204"/>
      <c r="F222" s="75">
        <v>1500</v>
      </c>
    </row>
    <row r="223" spans="1:13" ht="30.75" customHeight="1" x14ac:dyDescent="0.2">
      <c r="A223" s="76" t="s">
        <v>193</v>
      </c>
      <c r="B223" s="72">
        <v>2497.1</v>
      </c>
      <c r="C223" s="202" t="s">
        <v>160</v>
      </c>
      <c r="D223" s="203"/>
      <c r="E223" s="204"/>
      <c r="F223" s="72">
        <v>2497.1</v>
      </c>
    </row>
    <row r="224" spans="1:13" ht="15" x14ac:dyDescent="0.25">
      <c r="A224" s="18" t="s">
        <v>9</v>
      </c>
      <c r="B224" s="77">
        <f>SUM(B201:B222)</f>
        <v>20280.506240000002</v>
      </c>
      <c r="C224" s="214" t="s">
        <v>9</v>
      </c>
      <c r="D224" s="214"/>
      <c r="E224" s="214"/>
      <c r="F224" s="78">
        <f>SUM(F201:F222)</f>
        <v>20260.506239999999</v>
      </c>
      <c r="M224" s="43">
        <f>B224-F224</f>
        <v>20.000000000003638</v>
      </c>
    </row>
    <row r="225" spans="1:12" ht="0.75" customHeight="1" x14ac:dyDescent="0.25">
      <c r="A225" s="13"/>
      <c r="B225" s="21"/>
      <c r="C225" s="13"/>
      <c r="D225" s="13"/>
      <c r="E225" s="13"/>
      <c r="F225" s="24">
        <f>F224-B224</f>
        <v>-20.000000000003638</v>
      </c>
    </row>
    <row r="226" spans="1:12" ht="18" customHeight="1" x14ac:dyDescent="0.25">
      <c r="A226" s="215" t="s">
        <v>66</v>
      </c>
      <c r="B226" s="215"/>
      <c r="C226" s="215"/>
      <c r="D226" s="215"/>
      <c r="E226" s="216" t="s">
        <v>67</v>
      </c>
      <c r="F226" s="216"/>
    </row>
    <row r="227" spans="1:12" ht="1.5" customHeight="1" x14ac:dyDescent="0.25">
      <c r="A227" s="2"/>
      <c r="B227" s="3"/>
      <c r="C227" s="3"/>
      <c r="D227" s="4"/>
      <c r="E227" s="1"/>
      <c r="F227" s="4"/>
    </row>
    <row r="228" spans="1:12" ht="15.75" customHeight="1" x14ac:dyDescent="0.2">
      <c r="B228" s="16"/>
    </row>
    <row r="229" spans="1:12" ht="17.25" customHeight="1" x14ac:dyDescent="0.2"/>
    <row r="230" spans="1:12" ht="14.25" customHeight="1" x14ac:dyDescent="0.2">
      <c r="G230" s="16"/>
      <c r="H230" s="16"/>
      <c r="J230" s="16"/>
      <c r="L230" s="16"/>
    </row>
    <row r="231" spans="1:12" ht="14.25" customHeight="1" x14ac:dyDescent="0.2">
      <c r="G231" s="16"/>
      <c r="H231" s="16"/>
      <c r="J231" s="16"/>
      <c r="L231" s="16"/>
    </row>
  </sheetData>
  <mergeCells count="152">
    <mergeCell ref="C200:F200"/>
    <mergeCell ref="A184:A194"/>
    <mergeCell ref="B184:C184"/>
    <mergeCell ref="C224:E224"/>
    <mergeCell ref="A226:D226"/>
    <mergeCell ref="E226:F226"/>
    <mergeCell ref="C210:E210"/>
    <mergeCell ref="C211:E211"/>
    <mergeCell ref="C212:E212"/>
    <mergeCell ref="C213:E213"/>
    <mergeCell ref="C214:E214"/>
    <mergeCell ref="C222:E222"/>
    <mergeCell ref="C221:E221"/>
    <mergeCell ref="C223:E223"/>
    <mergeCell ref="C219:E219"/>
    <mergeCell ref="C220:E220"/>
    <mergeCell ref="C215:E215"/>
    <mergeCell ref="B194:C194"/>
    <mergeCell ref="B195:C195"/>
    <mergeCell ref="B185:C185"/>
    <mergeCell ref="B179:C179"/>
    <mergeCell ref="B180:C180"/>
    <mergeCell ref="B183:C183"/>
    <mergeCell ref="B186:C186"/>
    <mergeCell ref="C201:E203"/>
    <mergeCell ref="A204:A220"/>
    <mergeCell ref="A155:A169"/>
    <mergeCell ref="B168:C168"/>
    <mergeCell ref="A197:F197"/>
    <mergeCell ref="C216:E216"/>
    <mergeCell ref="C217:E217"/>
    <mergeCell ref="C218:E218"/>
    <mergeCell ref="B204:B220"/>
    <mergeCell ref="C204:E204"/>
    <mergeCell ref="C205:E205"/>
    <mergeCell ref="C206:E206"/>
    <mergeCell ref="C207:E207"/>
    <mergeCell ref="C208:E208"/>
    <mergeCell ref="C209:E209"/>
    <mergeCell ref="A177:A182"/>
    <mergeCell ref="B193:C193"/>
    <mergeCell ref="F201:F203"/>
    <mergeCell ref="A198:F198"/>
    <mergeCell ref="A200:B200"/>
    <mergeCell ref="A170:A175"/>
    <mergeCell ref="A144:A148"/>
    <mergeCell ref="A149:A154"/>
    <mergeCell ref="B150:C150"/>
    <mergeCell ref="B151:C151"/>
    <mergeCell ref="B152:C152"/>
    <mergeCell ref="B154:C154"/>
    <mergeCell ref="B171:C171"/>
    <mergeCell ref="B172:C172"/>
    <mergeCell ref="B174:C174"/>
    <mergeCell ref="B175:C175"/>
    <mergeCell ref="B169:C169"/>
    <mergeCell ref="B170:C170"/>
    <mergeCell ref="B176:C176"/>
    <mergeCell ref="B153:C153"/>
    <mergeCell ref="B166:C166"/>
    <mergeCell ref="B167:C167"/>
    <mergeCell ref="B191:C191"/>
    <mergeCell ref="B192:C192"/>
    <mergeCell ref="B177:C177"/>
    <mergeCell ref="B178:C178"/>
    <mergeCell ref="A98:F98"/>
    <mergeCell ref="A100:F100"/>
    <mergeCell ref="A102:F102"/>
    <mergeCell ref="B120:C120"/>
    <mergeCell ref="A121:A143"/>
    <mergeCell ref="A103:F103"/>
    <mergeCell ref="A105:F105"/>
    <mergeCell ref="A107:F107"/>
    <mergeCell ref="A108:F108"/>
    <mergeCell ref="A109:F109"/>
    <mergeCell ref="A110:F110"/>
    <mergeCell ref="A115:F115"/>
    <mergeCell ref="A111:F111"/>
    <mergeCell ref="A113:F113"/>
    <mergeCell ref="A117:F117"/>
    <mergeCell ref="A112:F112"/>
    <mergeCell ref="A116:F116"/>
    <mergeCell ref="A118:F118"/>
    <mergeCell ref="A114:F114"/>
    <mergeCell ref="A87:F87"/>
    <mergeCell ref="A89:F89"/>
    <mergeCell ref="A90:F90"/>
    <mergeCell ref="A91:F91"/>
    <mergeCell ref="A92:F92"/>
    <mergeCell ref="A93:F93"/>
    <mergeCell ref="A94:F94"/>
    <mergeCell ref="A95:F95"/>
    <mergeCell ref="A97:F97"/>
    <mergeCell ref="A84:F84"/>
    <mergeCell ref="A82:F82"/>
    <mergeCell ref="A85:F85"/>
    <mergeCell ref="A86:F86"/>
    <mergeCell ref="A76:F76"/>
    <mergeCell ref="A77:F77"/>
    <mergeCell ref="A79:F79"/>
    <mergeCell ref="A78:F78"/>
    <mergeCell ref="A81:F81"/>
    <mergeCell ref="A80:F80"/>
    <mergeCell ref="A83:F83"/>
    <mergeCell ref="A52:A60"/>
    <mergeCell ref="B61:C61"/>
    <mergeCell ref="A63:F63"/>
    <mergeCell ref="A64:F64"/>
    <mergeCell ref="A65:F65"/>
    <mergeCell ref="A66:F66"/>
    <mergeCell ref="A71:F71"/>
    <mergeCell ref="A72:F72"/>
    <mergeCell ref="A75:F75"/>
    <mergeCell ref="A67:F67"/>
    <mergeCell ref="A68:F68"/>
    <mergeCell ref="A69:F69"/>
    <mergeCell ref="A70:F70"/>
    <mergeCell ref="A73:F73"/>
    <mergeCell ref="A74:F74"/>
    <mergeCell ref="A37:F37"/>
    <mergeCell ref="A38:F38"/>
    <mergeCell ref="A39:F39"/>
    <mergeCell ref="A40:F40"/>
    <mergeCell ref="A41:F41"/>
    <mergeCell ref="A42:F42"/>
    <mergeCell ref="B48:C48"/>
    <mergeCell ref="A49:A51"/>
    <mergeCell ref="B49:C49"/>
    <mergeCell ref="A43:F43"/>
    <mergeCell ref="A44:F44"/>
    <mergeCell ref="B46:C46"/>
    <mergeCell ref="B47:C47"/>
    <mergeCell ref="A47:A48"/>
    <mergeCell ref="A29:F29"/>
    <mergeCell ref="A34:F34"/>
    <mergeCell ref="A35:F35"/>
    <mergeCell ref="A36:F36"/>
    <mergeCell ref="A30:F30"/>
    <mergeCell ref="A31:F31"/>
    <mergeCell ref="A32:F32"/>
    <mergeCell ref="A33:F33"/>
    <mergeCell ref="A1:F1"/>
    <mergeCell ref="A2:F2"/>
    <mergeCell ref="A3:F3"/>
    <mergeCell ref="A4:F4"/>
    <mergeCell ref="A5:F5"/>
    <mergeCell ref="A6:F6"/>
    <mergeCell ref="A7:F7"/>
    <mergeCell ref="A8:F8"/>
    <mergeCell ref="A28:F28"/>
    <mergeCell ref="A9:F9"/>
    <mergeCell ref="A27:F27"/>
  </mergeCells>
  <pageMargins left="0.47244094488188981" right="0" top="0.6" bottom="0.17" header="0.15748031496062992" footer="0.11811023622047245"/>
  <pageSetup paperSize="9" scale="86" fitToHeight="14" orientation="portrait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6"/>
  <sheetViews>
    <sheetView tabSelected="1" topLeftCell="A59" zoomScaleNormal="100" zoomScaleSheetLayoutView="100" workbookViewId="0">
      <selection activeCell="O72" sqref="O72"/>
    </sheetView>
  </sheetViews>
  <sheetFormatPr defaultColWidth="9.140625" defaultRowHeight="18" x14ac:dyDescent="0.25"/>
  <cols>
    <col min="1" max="1" width="44" style="79" customWidth="1"/>
    <col min="2" max="2" width="15.85546875" style="79" customWidth="1"/>
    <col min="3" max="3" width="16.42578125" style="79" customWidth="1"/>
    <col min="4" max="4" width="15.7109375" style="79" customWidth="1"/>
    <col min="5" max="5" width="20.5703125" style="79" customWidth="1"/>
    <col min="6" max="6" width="18.28515625" style="79" customWidth="1"/>
    <col min="7" max="7" width="2.42578125" style="79" customWidth="1"/>
    <col min="8" max="8" width="15.42578125" style="87" hidden="1" customWidth="1"/>
    <col min="9" max="9" width="8.5703125" style="79" hidden="1" customWidth="1"/>
    <col min="10" max="10" width="9.140625" style="79" hidden="1" customWidth="1"/>
    <col min="11" max="11" width="11.7109375" style="79" hidden="1" customWidth="1"/>
    <col min="12" max="12" width="12.140625" style="79" hidden="1" customWidth="1"/>
    <col min="13" max="16384" width="9.140625" style="79"/>
  </cols>
  <sheetData>
    <row r="1" spans="1:8" ht="19.5" customHeight="1" x14ac:dyDescent="0.3">
      <c r="A1" s="248" t="s">
        <v>0</v>
      </c>
      <c r="B1" s="248"/>
      <c r="C1" s="248"/>
      <c r="D1" s="248"/>
      <c r="E1" s="248"/>
      <c r="F1" s="248"/>
    </row>
    <row r="2" spans="1:8" ht="66.75" customHeight="1" x14ac:dyDescent="0.25">
      <c r="A2" s="249" t="s">
        <v>247</v>
      </c>
      <c r="B2" s="249"/>
      <c r="C2" s="249"/>
      <c r="D2" s="249"/>
      <c r="E2" s="249"/>
      <c r="F2" s="249"/>
      <c r="H2" s="150" t="s">
        <v>246</v>
      </c>
    </row>
    <row r="3" spans="1:8" ht="17.45" customHeight="1" x14ac:dyDescent="0.25">
      <c r="A3" s="250" t="s">
        <v>263</v>
      </c>
      <c r="B3" s="250"/>
      <c r="C3" s="250"/>
      <c r="D3" s="250"/>
      <c r="E3" s="250"/>
      <c r="F3" s="250"/>
    </row>
    <row r="4" spans="1:8" ht="17.45" customHeight="1" x14ac:dyDescent="0.25">
      <c r="A4" s="146"/>
      <c r="B4" s="146"/>
      <c r="C4" s="146"/>
      <c r="D4" s="146"/>
      <c r="E4" s="146"/>
      <c r="F4" s="146"/>
    </row>
    <row r="5" spans="1:8" ht="59.25" customHeight="1" x14ac:dyDescent="0.25">
      <c r="A5" s="250" t="s">
        <v>417</v>
      </c>
      <c r="B5" s="250"/>
      <c r="C5" s="250"/>
      <c r="D5" s="250"/>
      <c r="E5" s="250"/>
      <c r="F5" s="250"/>
    </row>
    <row r="6" spans="1:8" ht="21" customHeight="1" x14ac:dyDescent="0.3">
      <c r="A6" s="251" t="s">
        <v>343</v>
      </c>
      <c r="B6" s="251"/>
      <c r="C6" s="251"/>
      <c r="D6" s="251"/>
      <c r="E6" s="146"/>
      <c r="F6" s="146"/>
      <c r="H6" s="88">
        <v>79200</v>
      </c>
    </row>
    <row r="7" spans="1:8" ht="2.25" hidden="1" customHeight="1" x14ac:dyDescent="0.3">
      <c r="A7" s="251" t="s">
        <v>345</v>
      </c>
      <c r="B7" s="251"/>
      <c r="C7" s="251"/>
      <c r="D7" s="251"/>
      <c r="E7" s="123"/>
      <c r="F7" s="124"/>
      <c r="H7" s="88"/>
    </row>
    <row r="8" spans="1:8" ht="17.25" customHeight="1" x14ac:dyDescent="0.3">
      <c r="A8" s="251" t="s">
        <v>407</v>
      </c>
      <c r="B8" s="251"/>
      <c r="C8" s="251"/>
      <c r="D8" s="123"/>
      <c r="E8" s="123"/>
      <c r="F8" s="124"/>
      <c r="H8" s="88">
        <v>-17978.5</v>
      </c>
    </row>
    <row r="9" spans="1:8" ht="19.5" hidden="1" customHeight="1" x14ac:dyDescent="0.25">
      <c r="A9" s="252" t="s">
        <v>346</v>
      </c>
      <c r="B9" s="252"/>
      <c r="C9" s="252"/>
      <c r="D9" s="252"/>
      <c r="E9" s="252"/>
      <c r="F9" s="124"/>
      <c r="H9" s="88"/>
    </row>
    <row r="10" spans="1:8" ht="19.5" customHeight="1" x14ac:dyDescent="0.25">
      <c r="A10" s="253" t="s">
        <v>257</v>
      </c>
      <c r="B10" s="253"/>
      <c r="C10" s="253"/>
      <c r="D10" s="253"/>
      <c r="E10" s="253"/>
      <c r="F10" s="253"/>
      <c r="H10" s="88"/>
    </row>
    <row r="11" spans="1:8" ht="51" customHeight="1" x14ac:dyDescent="0.25">
      <c r="A11" s="125" t="s">
        <v>15</v>
      </c>
      <c r="B11" s="254" t="s">
        <v>251</v>
      </c>
      <c r="C11" s="255"/>
      <c r="D11" s="126" t="s">
        <v>16</v>
      </c>
      <c r="E11" s="126" t="s">
        <v>17</v>
      </c>
      <c r="F11" s="127" t="s">
        <v>18</v>
      </c>
      <c r="H11" s="88"/>
    </row>
    <row r="12" spans="1:8" ht="132" x14ac:dyDescent="0.25">
      <c r="A12" s="128" t="s">
        <v>347</v>
      </c>
      <c r="B12" s="258">
        <v>375474</v>
      </c>
      <c r="C12" s="258"/>
      <c r="D12" s="126">
        <v>405909</v>
      </c>
      <c r="E12" s="126">
        <f>D12-B12</f>
        <v>30435</v>
      </c>
      <c r="F12" s="76" t="s">
        <v>387</v>
      </c>
      <c r="H12" s="88"/>
    </row>
    <row r="13" spans="1:8" ht="198" x14ac:dyDescent="0.25">
      <c r="A13" s="128" t="s">
        <v>348</v>
      </c>
      <c r="B13" s="258">
        <v>1451</v>
      </c>
      <c r="C13" s="258"/>
      <c r="D13" s="126">
        <v>1510</v>
      </c>
      <c r="E13" s="126">
        <f>D13-B13</f>
        <v>59</v>
      </c>
      <c r="F13" s="76" t="s">
        <v>387</v>
      </c>
      <c r="H13" s="88"/>
    </row>
    <row r="14" spans="1:8" ht="82.5" x14ac:dyDescent="0.25">
      <c r="A14" s="128" t="s">
        <v>349</v>
      </c>
      <c r="B14" s="258">
        <v>3347</v>
      </c>
      <c r="C14" s="258"/>
      <c r="D14" s="126">
        <v>2428</v>
      </c>
      <c r="E14" s="126">
        <f t="shared" ref="E14:E57" si="0">D14-B14</f>
        <v>-919</v>
      </c>
      <c r="F14" s="76" t="s">
        <v>387</v>
      </c>
      <c r="H14" s="88"/>
    </row>
    <row r="15" spans="1:8" ht="148.5" x14ac:dyDescent="0.25">
      <c r="A15" s="128" t="s">
        <v>350</v>
      </c>
      <c r="B15" s="258">
        <v>519</v>
      </c>
      <c r="C15" s="258"/>
      <c r="D15" s="126">
        <v>1073</v>
      </c>
      <c r="E15" s="126">
        <f t="shared" si="0"/>
        <v>554</v>
      </c>
      <c r="F15" s="76" t="s">
        <v>387</v>
      </c>
      <c r="H15" s="88"/>
    </row>
    <row r="16" spans="1:8" ht="115.5" x14ac:dyDescent="0.25">
      <c r="A16" s="128" t="s">
        <v>351</v>
      </c>
      <c r="B16" s="258">
        <v>5877</v>
      </c>
      <c r="C16" s="258"/>
      <c r="D16" s="126">
        <v>7817</v>
      </c>
      <c r="E16" s="126">
        <f t="shared" si="0"/>
        <v>1940</v>
      </c>
      <c r="F16" s="76" t="s">
        <v>387</v>
      </c>
      <c r="H16" s="88"/>
    </row>
    <row r="17" spans="1:8" ht="148.5" x14ac:dyDescent="0.25">
      <c r="A17" s="128" t="s">
        <v>352</v>
      </c>
      <c r="B17" s="258">
        <v>39</v>
      </c>
      <c r="C17" s="258"/>
      <c r="D17" s="126">
        <v>58</v>
      </c>
      <c r="E17" s="126">
        <f t="shared" si="0"/>
        <v>19</v>
      </c>
      <c r="F17" s="76" t="s">
        <v>387</v>
      </c>
      <c r="H17" s="88"/>
    </row>
    <row r="18" spans="1:8" ht="198" x14ac:dyDescent="0.25">
      <c r="A18" s="128" t="s">
        <v>353</v>
      </c>
      <c r="B18" s="258">
        <v>10786</v>
      </c>
      <c r="C18" s="258"/>
      <c r="D18" s="126">
        <v>10501</v>
      </c>
      <c r="E18" s="126">
        <f t="shared" si="0"/>
        <v>-285</v>
      </c>
      <c r="F18" s="76" t="s">
        <v>387</v>
      </c>
      <c r="H18" s="88"/>
    </row>
    <row r="19" spans="1:8" ht="198" x14ac:dyDescent="0.25">
      <c r="A19" s="128" t="s">
        <v>354</v>
      </c>
      <c r="B19" s="258">
        <v>-1035</v>
      </c>
      <c r="C19" s="258"/>
      <c r="D19" s="126">
        <v>-1177</v>
      </c>
      <c r="E19" s="126">
        <f t="shared" si="0"/>
        <v>-142</v>
      </c>
      <c r="F19" s="76" t="s">
        <v>387</v>
      </c>
      <c r="H19" s="88"/>
    </row>
    <row r="20" spans="1:8" ht="50.25" customHeight="1" x14ac:dyDescent="0.25">
      <c r="A20" s="128" t="s">
        <v>355</v>
      </c>
      <c r="B20" s="258">
        <v>16623</v>
      </c>
      <c r="C20" s="258"/>
      <c r="D20" s="126">
        <v>19828</v>
      </c>
      <c r="E20" s="126">
        <f t="shared" si="0"/>
        <v>3205</v>
      </c>
      <c r="F20" s="76" t="s">
        <v>387</v>
      </c>
      <c r="H20" s="88"/>
    </row>
    <row r="21" spans="1:8" ht="66.75" customHeight="1" x14ac:dyDescent="0.25">
      <c r="A21" s="128" t="s">
        <v>356</v>
      </c>
      <c r="B21" s="258">
        <v>4486</v>
      </c>
      <c r="C21" s="258"/>
      <c r="D21" s="126">
        <v>5882</v>
      </c>
      <c r="E21" s="126">
        <f t="shared" si="0"/>
        <v>1396</v>
      </c>
      <c r="F21" s="76" t="s">
        <v>387</v>
      </c>
      <c r="H21" s="88"/>
    </row>
    <row r="22" spans="1:8" ht="63" x14ac:dyDescent="0.25">
      <c r="A22" s="128" t="s">
        <v>357</v>
      </c>
      <c r="B22" s="258">
        <v>33054</v>
      </c>
      <c r="C22" s="258"/>
      <c r="D22" s="126">
        <v>35671</v>
      </c>
      <c r="E22" s="126">
        <f t="shared" si="0"/>
        <v>2617</v>
      </c>
      <c r="F22" s="76" t="s">
        <v>387</v>
      </c>
      <c r="H22" s="88"/>
    </row>
    <row r="23" spans="1:8" ht="63" x14ac:dyDescent="0.25">
      <c r="A23" s="128" t="s">
        <v>76</v>
      </c>
      <c r="B23" s="258">
        <v>760</v>
      </c>
      <c r="C23" s="258"/>
      <c r="D23" s="126">
        <v>629</v>
      </c>
      <c r="E23" s="126">
        <f t="shared" si="0"/>
        <v>-131</v>
      </c>
      <c r="F23" s="76" t="s">
        <v>387</v>
      </c>
      <c r="H23" s="88"/>
    </row>
    <row r="24" spans="1:8" ht="66" x14ac:dyDescent="0.25">
      <c r="A24" s="128" t="s">
        <v>358</v>
      </c>
      <c r="B24" s="258">
        <v>370</v>
      </c>
      <c r="C24" s="258"/>
      <c r="D24" s="126">
        <v>612</v>
      </c>
      <c r="E24" s="126">
        <f t="shared" si="0"/>
        <v>242</v>
      </c>
      <c r="F24" s="76" t="s">
        <v>387</v>
      </c>
      <c r="H24" s="88"/>
    </row>
    <row r="25" spans="1:8" ht="63" x14ac:dyDescent="0.25">
      <c r="A25" s="128" t="s">
        <v>359</v>
      </c>
      <c r="B25" s="258">
        <v>315</v>
      </c>
      <c r="C25" s="258"/>
      <c r="D25" s="126">
        <v>360</v>
      </c>
      <c r="E25" s="126">
        <f t="shared" si="0"/>
        <v>45</v>
      </c>
      <c r="F25" s="76" t="s">
        <v>387</v>
      </c>
      <c r="H25" s="88"/>
    </row>
    <row r="26" spans="1:8" ht="66" x14ac:dyDescent="0.25">
      <c r="A26" s="128" t="s">
        <v>360</v>
      </c>
      <c r="B26" s="258">
        <v>28883</v>
      </c>
      <c r="C26" s="258"/>
      <c r="D26" s="126">
        <v>29098</v>
      </c>
      <c r="E26" s="126">
        <f t="shared" si="0"/>
        <v>215</v>
      </c>
      <c r="F26" s="76" t="s">
        <v>387</v>
      </c>
      <c r="H26" s="88"/>
    </row>
    <row r="27" spans="1:8" ht="66" x14ac:dyDescent="0.25">
      <c r="A27" s="128" t="s">
        <v>361</v>
      </c>
      <c r="B27" s="258">
        <v>8393</v>
      </c>
      <c r="C27" s="258"/>
      <c r="D27" s="126">
        <v>8025</v>
      </c>
      <c r="E27" s="126">
        <f t="shared" si="0"/>
        <v>-368</v>
      </c>
      <c r="F27" s="76" t="s">
        <v>387</v>
      </c>
      <c r="H27" s="88"/>
    </row>
    <row r="28" spans="1:8" ht="115.5" x14ac:dyDescent="0.25">
      <c r="A28" s="128" t="s">
        <v>362</v>
      </c>
      <c r="B28" s="258">
        <v>0</v>
      </c>
      <c r="C28" s="258"/>
      <c r="D28" s="126">
        <v>60</v>
      </c>
      <c r="E28" s="126">
        <f t="shared" si="0"/>
        <v>60</v>
      </c>
      <c r="F28" s="76" t="s">
        <v>387</v>
      </c>
      <c r="H28" s="88"/>
    </row>
    <row r="29" spans="1:8" ht="165" x14ac:dyDescent="0.25">
      <c r="A29" s="128" t="s">
        <v>363</v>
      </c>
      <c r="B29" s="258">
        <v>4</v>
      </c>
      <c r="C29" s="258"/>
      <c r="D29" s="126">
        <v>0</v>
      </c>
      <c r="E29" s="126">
        <f t="shared" si="0"/>
        <v>-4</v>
      </c>
      <c r="F29" s="76" t="s">
        <v>387</v>
      </c>
      <c r="H29" s="88"/>
    </row>
    <row r="30" spans="1:8" ht="66" x14ac:dyDescent="0.25">
      <c r="A30" s="128" t="s">
        <v>364</v>
      </c>
      <c r="B30" s="258">
        <v>7865</v>
      </c>
      <c r="C30" s="258"/>
      <c r="D30" s="126">
        <v>6921</v>
      </c>
      <c r="E30" s="126">
        <f t="shared" si="0"/>
        <v>-944</v>
      </c>
      <c r="F30" s="76" t="s">
        <v>387</v>
      </c>
      <c r="H30" s="88"/>
    </row>
    <row r="31" spans="1:8" ht="165" x14ac:dyDescent="0.25">
      <c r="A31" s="128" t="s">
        <v>365</v>
      </c>
      <c r="B31" s="258">
        <v>554</v>
      </c>
      <c r="C31" s="258"/>
      <c r="D31" s="126">
        <v>1234</v>
      </c>
      <c r="E31" s="126">
        <f t="shared" si="0"/>
        <v>680</v>
      </c>
      <c r="F31" s="76" t="s">
        <v>387</v>
      </c>
      <c r="H31" s="88"/>
    </row>
    <row r="32" spans="1:8" ht="63" x14ac:dyDescent="0.25">
      <c r="A32" s="128" t="s">
        <v>366</v>
      </c>
      <c r="B32" s="258">
        <v>35</v>
      </c>
      <c r="C32" s="258"/>
      <c r="D32" s="126">
        <v>85</v>
      </c>
      <c r="E32" s="126">
        <f t="shared" si="0"/>
        <v>50</v>
      </c>
      <c r="F32" s="76" t="s">
        <v>387</v>
      </c>
      <c r="H32" s="88"/>
    </row>
    <row r="33" spans="1:8" ht="148.5" x14ac:dyDescent="0.25">
      <c r="A33" s="128" t="s">
        <v>367</v>
      </c>
      <c r="B33" s="258">
        <v>237</v>
      </c>
      <c r="C33" s="258"/>
      <c r="D33" s="126">
        <v>58</v>
      </c>
      <c r="E33" s="126">
        <f t="shared" si="0"/>
        <v>-179</v>
      </c>
      <c r="F33" s="76" t="s">
        <v>387</v>
      </c>
      <c r="H33" s="88"/>
    </row>
    <row r="34" spans="1:8" ht="66" x14ac:dyDescent="0.25">
      <c r="A34" s="128" t="s">
        <v>368</v>
      </c>
      <c r="B34" s="258">
        <v>45</v>
      </c>
      <c r="C34" s="258"/>
      <c r="D34" s="126">
        <v>67</v>
      </c>
      <c r="E34" s="126">
        <f t="shared" si="0"/>
        <v>22</v>
      </c>
      <c r="F34" s="76" t="s">
        <v>387</v>
      </c>
      <c r="H34" s="88"/>
    </row>
    <row r="35" spans="1:8" ht="115.5" x14ac:dyDescent="0.25">
      <c r="A35" s="128" t="s">
        <v>369</v>
      </c>
      <c r="B35" s="258">
        <v>20390</v>
      </c>
      <c r="C35" s="258"/>
      <c r="D35" s="126">
        <v>24944</v>
      </c>
      <c r="E35" s="126">
        <f t="shared" si="0"/>
        <v>4554</v>
      </c>
      <c r="F35" s="76" t="s">
        <v>387</v>
      </c>
      <c r="H35" s="88"/>
    </row>
    <row r="36" spans="1:8" ht="66" x14ac:dyDescent="0.25">
      <c r="A36" s="128" t="s">
        <v>370</v>
      </c>
      <c r="B36" s="258">
        <v>24126</v>
      </c>
      <c r="C36" s="258"/>
      <c r="D36" s="126">
        <v>16878</v>
      </c>
      <c r="E36" s="126">
        <f t="shared" si="0"/>
        <v>-7248</v>
      </c>
      <c r="F36" s="76" t="s">
        <v>387</v>
      </c>
      <c r="H36" s="88"/>
    </row>
    <row r="37" spans="1:8" ht="132" x14ac:dyDescent="0.25">
      <c r="A37" s="128" t="s">
        <v>371</v>
      </c>
      <c r="B37" s="258">
        <v>3559</v>
      </c>
      <c r="C37" s="258"/>
      <c r="D37" s="126">
        <v>4065</v>
      </c>
      <c r="E37" s="126">
        <f t="shared" si="0"/>
        <v>506</v>
      </c>
      <c r="F37" s="76" t="s">
        <v>387</v>
      </c>
      <c r="H37" s="88"/>
    </row>
    <row r="38" spans="1:8" ht="63" x14ac:dyDescent="0.25">
      <c r="A38" s="128" t="s">
        <v>372</v>
      </c>
      <c r="B38" s="258">
        <v>366.6</v>
      </c>
      <c r="C38" s="258"/>
      <c r="D38" s="126">
        <v>677.6</v>
      </c>
      <c r="E38" s="126">
        <f t="shared" si="0"/>
        <v>311</v>
      </c>
      <c r="F38" s="76" t="s">
        <v>387</v>
      </c>
      <c r="H38" s="88"/>
    </row>
    <row r="39" spans="1:8" ht="63" x14ac:dyDescent="0.25">
      <c r="A39" s="128" t="s">
        <v>373</v>
      </c>
      <c r="B39" s="258">
        <v>5810</v>
      </c>
      <c r="C39" s="258"/>
      <c r="D39" s="126">
        <v>6657.5</v>
      </c>
      <c r="E39" s="126">
        <f t="shared" si="0"/>
        <v>847.5</v>
      </c>
      <c r="F39" s="76" t="s">
        <v>387</v>
      </c>
      <c r="H39" s="88"/>
    </row>
    <row r="40" spans="1:8" ht="63" x14ac:dyDescent="0.25">
      <c r="A40" s="128" t="s">
        <v>374</v>
      </c>
      <c r="B40" s="258">
        <v>430</v>
      </c>
      <c r="C40" s="258"/>
      <c r="D40" s="126">
        <v>448</v>
      </c>
      <c r="E40" s="126">
        <f t="shared" si="0"/>
        <v>18</v>
      </c>
      <c r="F40" s="76" t="s">
        <v>387</v>
      </c>
      <c r="H40" s="88"/>
    </row>
    <row r="41" spans="1:8" ht="148.5" x14ac:dyDescent="0.25">
      <c r="A41" s="128" t="s">
        <v>375</v>
      </c>
      <c r="B41" s="258">
        <v>3000</v>
      </c>
      <c r="C41" s="258"/>
      <c r="D41" s="126">
        <v>840</v>
      </c>
      <c r="E41" s="126">
        <f t="shared" si="0"/>
        <v>-2160</v>
      </c>
      <c r="F41" s="76" t="s">
        <v>387</v>
      </c>
      <c r="H41" s="88"/>
    </row>
    <row r="42" spans="1:8" ht="82.5" x14ac:dyDescent="0.25">
      <c r="A42" s="128" t="s">
        <v>78</v>
      </c>
      <c r="B42" s="258">
        <v>4070</v>
      </c>
      <c r="C42" s="258"/>
      <c r="D42" s="126">
        <v>-14838</v>
      </c>
      <c r="E42" s="126">
        <f t="shared" si="0"/>
        <v>-18908</v>
      </c>
      <c r="F42" s="76" t="s">
        <v>387</v>
      </c>
      <c r="H42" s="88"/>
    </row>
    <row r="43" spans="1:8" ht="181.5" x14ac:dyDescent="0.25">
      <c r="A43" s="128" t="s">
        <v>376</v>
      </c>
      <c r="B43" s="258">
        <v>189</v>
      </c>
      <c r="C43" s="258"/>
      <c r="D43" s="126">
        <v>213</v>
      </c>
      <c r="E43" s="126">
        <f t="shared" si="0"/>
        <v>24</v>
      </c>
      <c r="F43" s="76" t="s">
        <v>387</v>
      </c>
      <c r="H43" s="88"/>
    </row>
    <row r="44" spans="1:8" ht="82.5" x14ac:dyDescent="0.25">
      <c r="A44" s="128" t="s">
        <v>377</v>
      </c>
      <c r="B44" s="258">
        <v>15</v>
      </c>
      <c r="C44" s="258"/>
      <c r="D44" s="126">
        <v>20</v>
      </c>
      <c r="E44" s="126">
        <f t="shared" si="0"/>
        <v>5</v>
      </c>
      <c r="F44" s="76" t="s">
        <v>387</v>
      </c>
      <c r="H44" s="88"/>
    </row>
    <row r="45" spans="1:8" ht="99" x14ac:dyDescent="0.25">
      <c r="A45" s="128" t="s">
        <v>49</v>
      </c>
      <c r="B45" s="258">
        <v>236</v>
      </c>
      <c r="C45" s="258"/>
      <c r="D45" s="126">
        <v>286</v>
      </c>
      <c r="E45" s="126">
        <f t="shared" si="0"/>
        <v>50</v>
      </c>
      <c r="F45" s="76" t="s">
        <v>387</v>
      </c>
      <c r="H45" s="88"/>
    </row>
    <row r="46" spans="1:8" ht="82.5" x14ac:dyDescent="0.25">
      <c r="A46" s="128" t="s">
        <v>219</v>
      </c>
      <c r="B46" s="258">
        <v>30</v>
      </c>
      <c r="C46" s="258"/>
      <c r="D46" s="126">
        <v>32</v>
      </c>
      <c r="E46" s="126">
        <f t="shared" si="0"/>
        <v>2</v>
      </c>
      <c r="F46" s="76" t="s">
        <v>387</v>
      </c>
      <c r="H46" s="88"/>
    </row>
    <row r="47" spans="1:8" ht="99" x14ac:dyDescent="0.25">
      <c r="A47" s="128" t="s">
        <v>378</v>
      </c>
      <c r="B47" s="258">
        <v>130</v>
      </c>
      <c r="C47" s="258"/>
      <c r="D47" s="126">
        <v>110</v>
      </c>
      <c r="E47" s="126">
        <f t="shared" si="0"/>
        <v>-20</v>
      </c>
      <c r="F47" s="76" t="s">
        <v>387</v>
      </c>
      <c r="H47" s="88"/>
    </row>
    <row r="48" spans="1:8" ht="115.5" x14ac:dyDescent="0.25">
      <c r="A48" s="128" t="s">
        <v>379</v>
      </c>
      <c r="B48" s="258">
        <v>105</v>
      </c>
      <c r="C48" s="258"/>
      <c r="D48" s="126">
        <v>269</v>
      </c>
      <c r="E48" s="126">
        <f t="shared" si="0"/>
        <v>164</v>
      </c>
      <c r="F48" s="76" t="s">
        <v>387</v>
      </c>
      <c r="H48" s="88"/>
    </row>
    <row r="49" spans="1:8" ht="63" x14ac:dyDescent="0.25">
      <c r="A49" s="128" t="s">
        <v>380</v>
      </c>
      <c r="B49" s="258">
        <v>279</v>
      </c>
      <c r="C49" s="258"/>
      <c r="D49" s="126">
        <v>138</v>
      </c>
      <c r="E49" s="126">
        <f t="shared" si="0"/>
        <v>-141</v>
      </c>
      <c r="F49" s="76" t="s">
        <v>387</v>
      </c>
      <c r="H49" s="88"/>
    </row>
    <row r="50" spans="1:8" ht="34.5" customHeight="1" x14ac:dyDescent="0.25">
      <c r="A50" s="128" t="s">
        <v>381</v>
      </c>
      <c r="B50" s="258">
        <v>113</v>
      </c>
      <c r="C50" s="258"/>
      <c r="D50" s="126">
        <v>23</v>
      </c>
      <c r="E50" s="126">
        <f t="shared" si="0"/>
        <v>-90</v>
      </c>
      <c r="F50" s="76" t="s">
        <v>387</v>
      </c>
      <c r="H50" s="88"/>
    </row>
    <row r="51" spans="1:8" ht="63" x14ac:dyDescent="0.25">
      <c r="A51" s="128" t="s">
        <v>382</v>
      </c>
      <c r="B51" s="258">
        <v>0</v>
      </c>
      <c r="C51" s="258"/>
      <c r="D51" s="126">
        <v>30</v>
      </c>
      <c r="E51" s="126">
        <f t="shared" si="0"/>
        <v>30</v>
      </c>
      <c r="F51" s="76" t="s">
        <v>387</v>
      </c>
      <c r="H51" s="88"/>
    </row>
    <row r="52" spans="1:8" ht="99" x14ac:dyDescent="0.25">
      <c r="A52" s="128" t="s">
        <v>383</v>
      </c>
      <c r="B52" s="258">
        <v>1291</v>
      </c>
      <c r="C52" s="258"/>
      <c r="D52" s="126">
        <v>1302</v>
      </c>
      <c r="E52" s="126">
        <f t="shared" si="0"/>
        <v>11</v>
      </c>
      <c r="F52" s="76" t="s">
        <v>387</v>
      </c>
      <c r="H52" s="88"/>
    </row>
    <row r="53" spans="1:8" ht="63" x14ac:dyDescent="0.25">
      <c r="A53" s="128" t="s">
        <v>384</v>
      </c>
      <c r="B53" s="258">
        <v>43</v>
      </c>
      <c r="C53" s="258"/>
      <c r="D53" s="126">
        <v>15</v>
      </c>
      <c r="E53" s="126">
        <f t="shared" si="0"/>
        <v>-28</v>
      </c>
      <c r="F53" s="76" t="s">
        <v>387</v>
      </c>
      <c r="H53" s="88"/>
    </row>
    <row r="54" spans="1:8" ht="115.5" x14ac:dyDescent="0.25">
      <c r="A54" s="128" t="s">
        <v>385</v>
      </c>
      <c r="B54" s="258">
        <v>1930</v>
      </c>
      <c r="C54" s="258"/>
      <c r="D54" s="126">
        <v>911</v>
      </c>
      <c r="E54" s="126">
        <f t="shared" si="0"/>
        <v>-1019</v>
      </c>
      <c r="F54" s="76" t="s">
        <v>387</v>
      </c>
      <c r="H54" s="88"/>
    </row>
    <row r="55" spans="1:8" ht="115.5" x14ac:dyDescent="0.25">
      <c r="A55" s="128" t="s">
        <v>24</v>
      </c>
      <c r="B55" s="258">
        <v>201</v>
      </c>
      <c r="C55" s="258"/>
      <c r="D55" s="126">
        <v>301</v>
      </c>
      <c r="E55" s="126">
        <f t="shared" si="0"/>
        <v>100</v>
      </c>
      <c r="F55" s="76" t="s">
        <v>387</v>
      </c>
      <c r="H55" s="88"/>
    </row>
    <row r="56" spans="1:8" ht="99" x14ac:dyDescent="0.25">
      <c r="A56" s="128" t="s">
        <v>386</v>
      </c>
      <c r="B56" s="258">
        <v>60</v>
      </c>
      <c r="C56" s="258"/>
      <c r="D56" s="126">
        <v>51</v>
      </c>
      <c r="E56" s="126">
        <f t="shared" si="0"/>
        <v>-9</v>
      </c>
      <c r="F56" s="76" t="s">
        <v>387</v>
      </c>
      <c r="H56" s="88"/>
    </row>
    <row r="57" spans="1:8" ht="66" x14ac:dyDescent="0.25">
      <c r="A57" s="128" t="s">
        <v>33</v>
      </c>
      <c r="B57" s="258">
        <v>2458</v>
      </c>
      <c r="C57" s="258"/>
      <c r="D57" s="126">
        <v>2818</v>
      </c>
      <c r="E57" s="126">
        <f t="shared" si="0"/>
        <v>360</v>
      </c>
      <c r="F57" s="76" t="s">
        <v>387</v>
      </c>
      <c r="H57" s="88"/>
    </row>
    <row r="58" spans="1:8" ht="19.5" customHeight="1" x14ac:dyDescent="0.25">
      <c r="A58" s="144" t="s">
        <v>250</v>
      </c>
      <c r="B58" s="258"/>
      <c r="C58" s="258"/>
      <c r="D58" s="144"/>
      <c r="E58" s="126">
        <f>SUM(E12:E57)</f>
        <v>15926.5</v>
      </c>
      <c r="F58" s="144"/>
      <c r="H58" s="88">
        <v>15926.5</v>
      </c>
    </row>
    <row r="59" spans="1:8" ht="19.5" customHeight="1" x14ac:dyDescent="0.25">
      <c r="A59" s="151"/>
      <c r="B59" s="151"/>
      <c r="C59" s="151"/>
      <c r="D59" s="151"/>
      <c r="E59" s="151"/>
      <c r="F59" s="151"/>
      <c r="H59" s="88"/>
    </row>
    <row r="60" spans="1:8" ht="19.5" customHeight="1" x14ac:dyDescent="0.25">
      <c r="A60" s="151"/>
      <c r="B60" s="151"/>
      <c r="C60" s="151"/>
      <c r="D60" s="151"/>
      <c r="E60" s="151"/>
      <c r="F60" s="151"/>
      <c r="H60" s="88"/>
    </row>
    <row r="61" spans="1:8" ht="28.5" customHeight="1" x14ac:dyDescent="0.25">
      <c r="A61" s="256" t="s">
        <v>413</v>
      </c>
      <c r="B61" s="256"/>
      <c r="C61" s="256"/>
      <c r="D61" s="256"/>
      <c r="E61" s="256"/>
      <c r="F61" s="256"/>
      <c r="H61" s="88">
        <v>5161.3999999999996</v>
      </c>
    </row>
    <row r="62" spans="1:8" ht="19.5" customHeight="1" x14ac:dyDescent="0.3">
      <c r="A62" s="257" t="s">
        <v>414</v>
      </c>
      <c r="B62" s="257"/>
      <c r="C62" s="257"/>
      <c r="D62" s="257"/>
      <c r="E62" s="257"/>
      <c r="F62" s="257"/>
      <c r="H62" s="88">
        <f>H58+H61</f>
        <v>21087.9</v>
      </c>
    </row>
    <row r="63" spans="1:8" ht="18.75" hidden="1" customHeight="1" x14ac:dyDescent="0.25">
      <c r="A63" s="253" t="s">
        <v>257</v>
      </c>
      <c r="B63" s="253"/>
      <c r="C63" s="253"/>
      <c r="D63" s="253"/>
      <c r="E63" s="253"/>
      <c r="F63" s="253"/>
    </row>
    <row r="64" spans="1:8" ht="54.75" hidden="1" customHeight="1" x14ac:dyDescent="0.25">
      <c r="A64" s="125" t="s">
        <v>15</v>
      </c>
      <c r="B64" s="254" t="s">
        <v>251</v>
      </c>
      <c r="C64" s="255"/>
      <c r="D64" s="126" t="s">
        <v>16</v>
      </c>
      <c r="E64" s="126" t="s">
        <v>17</v>
      </c>
      <c r="F64" s="127" t="s">
        <v>18</v>
      </c>
    </row>
    <row r="65" spans="1:8" ht="54" hidden="1" customHeight="1" x14ac:dyDescent="0.25">
      <c r="A65" s="128"/>
      <c r="B65" s="254"/>
      <c r="C65" s="255"/>
      <c r="D65" s="126"/>
      <c r="E65" s="126"/>
      <c r="F65" s="129"/>
    </row>
    <row r="66" spans="1:8" ht="20.25" hidden="1" customHeight="1" x14ac:dyDescent="0.25">
      <c r="A66" s="128"/>
      <c r="B66" s="254"/>
      <c r="C66" s="255"/>
      <c r="D66" s="126"/>
      <c r="E66" s="126"/>
      <c r="F66" s="129"/>
    </row>
    <row r="67" spans="1:8" ht="15.75" hidden="1" customHeight="1" x14ac:dyDescent="0.25">
      <c r="A67" s="130" t="s">
        <v>250</v>
      </c>
      <c r="B67" s="254"/>
      <c r="C67" s="255"/>
      <c r="D67" s="126"/>
      <c r="E67" s="131">
        <f>SUM(E65:E66)</f>
        <v>0</v>
      </c>
      <c r="F67" s="127"/>
      <c r="H67" s="152">
        <v>0</v>
      </c>
    </row>
    <row r="68" spans="1:8" ht="17.25" customHeight="1" x14ac:dyDescent="0.25">
      <c r="A68" s="132"/>
      <c r="B68" s="133"/>
      <c r="C68" s="133"/>
      <c r="D68" s="133"/>
      <c r="E68" s="134"/>
      <c r="F68" s="135"/>
      <c r="H68" s="152"/>
    </row>
    <row r="69" spans="1:8" ht="20.25" customHeight="1" x14ac:dyDescent="0.3">
      <c r="A69" s="153"/>
      <c r="B69" s="153"/>
      <c r="C69" s="153"/>
      <c r="D69" s="146"/>
      <c r="E69" s="146"/>
      <c r="F69" s="146"/>
      <c r="H69" s="154"/>
    </row>
    <row r="70" spans="1:8" ht="65.25" customHeight="1" x14ac:dyDescent="0.3">
      <c r="A70" s="219" t="s">
        <v>436</v>
      </c>
      <c r="B70" s="219"/>
      <c r="C70" s="219"/>
      <c r="D70" s="219"/>
      <c r="E70" s="219"/>
      <c r="F70" s="219"/>
      <c r="H70" s="79"/>
    </row>
    <row r="71" spans="1:8" ht="21" customHeight="1" x14ac:dyDescent="0.3">
      <c r="A71" s="259" t="s">
        <v>31</v>
      </c>
      <c r="B71" s="259"/>
      <c r="C71" s="259"/>
      <c r="D71" s="259"/>
      <c r="E71" s="259"/>
      <c r="F71" s="259"/>
      <c r="H71" s="79"/>
    </row>
    <row r="72" spans="1:8" ht="16.5" customHeight="1" x14ac:dyDescent="0.3">
      <c r="A72" s="145" t="s">
        <v>38</v>
      </c>
      <c r="B72" s="145"/>
      <c r="C72" s="145"/>
      <c r="D72" s="145"/>
      <c r="E72" s="145"/>
      <c r="F72" s="145"/>
      <c r="H72" s="79"/>
    </row>
    <row r="73" spans="1:8" ht="24.75" customHeight="1" x14ac:dyDescent="0.3">
      <c r="A73" s="259" t="s">
        <v>258</v>
      </c>
      <c r="B73" s="259"/>
      <c r="C73" s="259"/>
      <c r="D73" s="259"/>
      <c r="E73" s="259"/>
      <c r="F73" s="259"/>
      <c r="H73" s="79"/>
    </row>
    <row r="74" spans="1:8" ht="42" customHeight="1" x14ac:dyDescent="0.3">
      <c r="A74" s="219" t="s">
        <v>322</v>
      </c>
      <c r="B74" s="219"/>
      <c r="C74" s="219"/>
      <c r="D74" s="219"/>
      <c r="E74" s="219"/>
      <c r="F74" s="219"/>
      <c r="H74" s="79"/>
    </row>
    <row r="75" spans="1:8" ht="24.75" customHeight="1" x14ac:dyDescent="0.3">
      <c r="A75" s="259" t="s">
        <v>282</v>
      </c>
      <c r="B75" s="259"/>
      <c r="C75" s="259"/>
      <c r="D75" s="259"/>
      <c r="E75" s="259"/>
      <c r="F75" s="259"/>
      <c r="H75" s="79"/>
    </row>
    <row r="76" spans="1:8" ht="192" customHeight="1" x14ac:dyDescent="0.3">
      <c r="A76" s="219" t="s">
        <v>418</v>
      </c>
      <c r="B76" s="219"/>
      <c r="C76" s="219"/>
      <c r="D76" s="219"/>
      <c r="E76" s="219"/>
      <c r="F76" s="219"/>
      <c r="H76" s="79"/>
    </row>
    <row r="77" spans="1:8" ht="207" customHeight="1" x14ac:dyDescent="0.3">
      <c r="A77" s="219" t="s">
        <v>398</v>
      </c>
      <c r="B77" s="219"/>
      <c r="C77" s="219"/>
      <c r="D77" s="219"/>
      <c r="E77" s="219"/>
      <c r="F77" s="219"/>
      <c r="H77" s="79"/>
    </row>
    <row r="78" spans="1:8" ht="171" customHeight="1" x14ac:dyDescent="0.3">
      <c r="A78" s="219" t="s">
        <v>419</v>
      </c>
      <c r="B78" s="219"/>
      <c r="C78" s="219"/>
      <c r="D78" s="219"/>
      <c r="E78" s="219"/>
      <c r="F78" s="219"/>
      <c r="H78" s="79"/>
    </row>
    <row r="79" spans="1:8" ht="42" customHeight="1" x14ac:dyDescent="0.3">
      <c r="A79" s="259" t="s">
        <v>85</v>
      </c>
      <c r="B79" s="259"/>
      <c r="C79" s="259"/>
      <c r="D79" s="259"/>
      <c r="E79" s="259"/>
      <c r="F79" s="259"/>
      <c r="H79" s="79"/>
    </row>
    <row r="80" spans="1:8" ht="75" customHeight="1" x14ac:dyDescent="0.3">
      <c r="A80" s="219" t="s">
        <v>420</v>
      </c>
      <c r="B80" s="219"/>
      <c r="C80" s="219"/>
      <c r="D80" s="219"/>
      <c r="E80" s="219"/>
      <c r="F80" s="219"/>
      <c r="H80" s="79"/>
    </row>
    <row r="81" spans="1:8" ht="306" customHeight="1" x14ac:dyDescent="0.3">
      <c r="A81" s="219" t="s">
        <v>421</v>
      </c>
      <c r="B81" s="219"/>
      <c r="C81" s="219"/>
      <c r="D81" s="219"/>
      <c r="E81" s="219"/>
      <c r="F81" s="219"/>
      <c r="H81" s="79"/>
    </row>
    <row r="82" spans="1:8" ht="191.25" customHeight="1" x14ac:dyDescent="0.3">
      <c r="A82" s="219" t="s">
        <v>422</v>
      </c>
      <c r="B82" s="219"/>
      <c r="C82" s="219"/>
      <c r="D82" s="219"/>
      <c r="E82" s="219"/>
      <c r="F82" s="219"/>
      <c r="H82" s="79"/>
    </row>
    <row r="83" spans="1:8" ht="243" customHeight="1" x14ac:dyDescent="0.3">
      <c r="A83" s="219" t="s">
        <v>390</v>
      </c>
      <c r="B83" s="219"/>
      <c r="C83" s="219"/>
      <c r="D83" s="219"/>
      <c r="E83" s="219"/>
      <c r="F83" s="219"/>
      <c r="H83" s="79"/>
    </row>
    <row r="84" spans="1:8" ht="244.5" customHeight="1" x14ac:dyDescent="0.3">
      <c r="A84" s="219" t="s">
        <v>396</v>
      </c>
      <c r="B84" s="219"/>
      <c r="C84" s="219"/>
      <c r="D84" s="219"/>
      <c r="E84" s="219"/>
      <c r="F84" s="219"/>
      <c r="H84" s="79"/>
    </row>
    <row r="85" spans="1:8" ht="264" customHeight="1" x14ac:dyDescent="0.3">
      <c r="A85" s="219" t="s">
        <v>400</v>
      </c>
      <c r="B85" s="219"/>
      <c r="C85" s="219"/>
      <c r="D85" s="219"/>
      <c r="E85" s="219"/>
      <c r="F85" s="219"/>
      <c r="H85" s="79"/>
    </row>
    <row r="86" spans="1:8" ht="74.25" customHeight="1" x14ac:dyDescent="0.3">
      <c r="A86" s="219" t="s">
        <v>401</v>
      </c>
      <c r="B86" s="219"/>
      <c r="C86" s="219"/>
      <c r="D86" s="219"/>
      <c r="E86" s="219"/>
      <c r="F86" s="219"/>
      <c r="H86" s="79"/>
    </row>
    <row r="87" spans="1:8" s="100" customFormat="1" ht="24" customHeight="1" x14ac:dyDescent="0.2">
      <c r="A87" s="148"/>
      <c r="B87" s="260" t="s">
        <v>2</v>
      </c>
      <c r="C87" s="260"/>
      <c r="D87" s="148" t="s">
        <v>3</v>
      </c>
      <c r="E87" s="148" t="s">
        <v>4</v>
      </c>
      <c r="F87" s="148" t="s">
        <v>5</v>
      </c>
    </row>
    <row r="88" spans="1:8" s="100" customFormat="1" ht="18.75" customHeight="1" x14ac:dyDescent="0.3">
      <c r="A88" s="149" t="s">
        <v>30</v>
      </c>
      <c r="B88" s="114" t="s">
        <v>403</v>
      </c>
      <c r="C88" s="114"/>
      <c r="D88" s="115">
        <v>1329.4</v>
      </c>
      <c r="E88" s="155">
        <v>-71.5</v>
      </c>
      <c r="F88" s="155">
        <f t="shared" ref="F88:F126" si="1">D88+E88</f>
        <v>1257.9000000000001</v>
      </c>
    </row>
    <row r="89" spans="1:8" s="100" customFormat="1" ht="18.75" customHeight="1" x14ac:dyDescent="0.3">
      <c r="A89" s="261" t="s">
        <v>8</v>
      </c>
      <c r="B89" s="114" t="s">
        <v>280</v>
      </c>
      <c r="C89" s="114"/>
      <c r="D89" s="115">
        <v>26676.9</v>
      </c>
      <c r="E89" s="155">
        <v>2494.6</v>
      </c>
      <c r="F89" s="155">
        <f t="shared" si="1"/>
        <v>29171.5</v>
      </c>
    </row>
    <row r="90" spans="1:8" s="100" customFormat="1" ht="18.75" customHeight="1" x14ac:dyDescent="0.3">
      <c r="A90" s="261"/>
      <c r="B90" s="114" t="s">
        <v>253</v>
      </c>
      <c r="C90" s="114"/>
      <c r="D90" s="115">
        <v>164479.4</v>
      </c>
      <c r="E90" s="155">
        <v>5719.6</v>
      </c>
      <c r="F90" s="155">
        <f t="shared" si="1"/>
        <v>170199</v>
      </c>
    </row>
    <row r="91" spans="1:8" s="100" customFormat="1" ht="18.75" customHeight="1" x14ac:dyDescent="0.3">
      <c r="A91" s="261"/>
      <c r="B91" s="114" t="s">
        <v>254</v>
      </c>
      <c r="C91" s="114"/>
      <c r="D91" s="115">
        <v>134797.4</v>
      </c>
      <c r="E91" s="155">
        <v>7087.1</v>
      </c>
      <c r="F91" s="155">
        <f t="shared" si="1"/>
        <v>141884.5</v>
      </c>
    </row>
    <row r="92" spans="1:8" s="100" customFormat="1" ht="18.75" customHeight="1" x14ac:dyDescent="0.3">
      <c r="A92" s="261"/>
      <c r="B92" s="114" t="s">
        <v>277</v>
      </c>
      <c r="C92" s="114"/>
      <c r="D92" s="115">
        <v>22755.7</v>
      </c>
      <c r="E92" s="155">
        <v>1949.2</v>
      </c>
      <c r="F92" s="155">
        <f t="shared" si="1"/>
        <v>24704.9</v>
      </c>
    </row>
    <row r="93" spans="1:8" s="100" customFormat="1" ht="18.75" customHeight="1" x14ac:dyDescent="0.3">
      <c r="A93" s="261"/>
      <c r="B93" s="114" t="s">
        <v>323</v>
      </c>
      <c r="C93" s="114"/>
      <c r="D93" s="115">
        <v>22446</v>
      </c>
      <c r="E93" s="155">
        <v>1688.2</v>
      </c>
      <c r="F93" s="155">
        <f t="shared" si="1"/>
        <v>24134.2</v>
      </c>
      <c r="H93" s="87"/>
    </row>
    <row r="94" spans="1:8" s="100" customFormat="1" ht="18.75" customHeight="1" x14ac:dyDescent="0.3">
      <c r="A94" s="261"/>
      <c r="B94" s="114" t="s">
        <v>314</v>
      </c>
      <c r="C94" s="114"/>
      <c r="D94" s="115">
        <v>19141.3</v>
      </c>
      <c r="E94" s="155">
        <v>1346.3</v>
      </c>
      <c r="F94" s="155">
        <f t="shared" si="1"/>
        <v>20487.599999999999</v>
      </c>
      <c r="H94" s="87"/>
    </row>
    <row r="95" spans="1:8" s="100" customFormat="1" ht="18.75" customHeight="1" x14ac:dyDescent="0.3">
      <c r="A95" s="261"/>
      <c r="B95" s="114" t="s">
        <v>284</v>
      </c>
      <c r="C95" s="114"/>
      <c r="D95" s="115">
        <v>7120.3</v>
      </c>
      <c r="E95" s="155">
        <v>634</v>
      </c>
      <c r="F95" s="155">
        <f t="shared" si="1"/>
        <v>7754.3</v>
      </c>
      <c r="H95" s="87"/>
    </row>
    <row r="96" spans="1:8" s="100" customFormat="1" ht="18.75" customHeight="1" x14ac:dyDescent="0.3">
      <c r="A96" s="261"/>
      <c r="B96" s="114" t="s">
        <v>312</v>
      </c>
      <c r="C96" s="114"/>
      <c r="D96" s="115">
        <v>1341.3</v>
      </c>
      <c r="E96" s="155">
        <v>-150</v>
      </c>
      <c r="F96" s="155">
        <f t="shared" si="1"/>
        <v>1191.3</v>
      </c>
      <c r="H96" s="87"/>
    </row>
    <row r="97" spans="1:8" s="100" customFormat="1" ht="18.75" customHeight="1" x14ac:dyDescent="0.3">
      <c r="A97" s="261"/>
      <c r="B97" s="114" t="s">
        <v>404</v>
      </c>
      <c r="C97" s="114"/>
      <c r="D97" s="115">
        <v>207</v>
      </c>
      <c r="E97" s="155">
        <v>-90</v>
      </c>
      <c r="F97" s="155">
        <f t="shared" si="1"/>
        <v>117</v>
      </c>
      <c r="H97" s="118"/>
    </row>
    <row r="98" spans="1:8" s="100" customFormat="1" ht="18.75" customHeight="1" x14ac:dyDescent="0.3">
      <c r="A98" s="261"/>
      <c r="B98" s="114" t="s">
        <v>286</v>
      </c>
      <c r="C98" s="114"/>
      <c r="D98" s="115">
        <v>236.9</v>
      </c>
      <c r="E98" s="155">
        <v>-75</v>
      </c>
      <c r="F98" s="155">
        <f t="shared" si="1"/>
        <v>161.9</v>
      </c>
      <c r="H98" s="118"/>
    </row>
    <row r="99" spans="1:8" s="100" customFormat="1" ht="18.75" customHeight="1" x14ac:dyDescent="0.3">
      <c r="A99" s="261"/>
      <c r="B99" s="114" t="s">
        <v>405</v>
      </c>
      <c r="C99" s="114"/>
      <c r="D99" s="115">
        <v>570</v>
      </c>
      <c r="E99" s="155">
        <v>-39</v>
      </c>
      <c r="F99" s="155">
        <f t="shared" si="1"/>
        <v>531</v>
      </c>
      <c r="H99" s="118"/>
    </row>
    <row r="100" spans="1:8" s="100" customFormat="1" ht="18.75" customHeight="1" x14ac:dyDescent="0.3">
      <c r="A100" s="261"/>
      <c r="B100" s="114" t="s">
        <v>406</v>
      </c>
      <c r="C100" s="114"/>
      <c r="D100" s="115">
        <v>250</v>
      </c>
      <c r="E100" s="155">
        <v>-150</v>
      </c>
      <c r="F100" s="155">
        <f t="shared" si="1"/>
        <v>100</v>
      </c>
      <c r="H100" s="118"/>
    </row>
    <row r="101" spans="1:8" s="100" customFormat="1" ht="18.75" customHeight="1" x14ac:dyDescent="0.3">
      <c r="A101" s="261" t="s">
        <v>25</v>
      </c>
      <c r="B101" s="114" t="s">
        <v>402</v>
      </c>
      <c r="C101" s="114"/>
      <c r="D101" s="115">
        <v>32</v>
      </c>
      <c r="E101" s="155">
        <v>-22</v>
      </c>
      <c r="F101" s="155">
        <f t="shared" si="1"/>
        <v>10</v>
      </c>
      <c r="H101" s="118"/>
    </row>
    <row r="102" spans="1:8" s="100" customFormat="1" ht="18.75" customHeight="1" x14ac:dyDescent="0.3">
      <c r="A102" s="261"/>
      <c r="B102" s="114" t="s">
        <v>96</v>
      </c>
      <c r="C102" s="114"/>
      <c r="D102" s="115">
        <v>46.961739999999999</v>
      </c>
      <c r="E102" s="155">
        <f>0.14146+0.14146</f>
        <v>0.28292</v>
      </c>
      <c r="F102" s="155">
        <f t="shared" si="1"/>
        <v>47.244659999999996</v>
      </c>
      <c r="H102" s="118"/>
    </row>
    <row r="103" spans="1:8" s="100" customFormat="1" ht="18.75" customHeight="1" x14ac:dyDescent="0.3">
      <c r="A103" s="261"/>
      <c r="B103" s="114" t="s">
        <v>51</v>
      </c>
      <c r="C103" s="114"/>
      <c r="D103" s="115">
        <v>9533.8382600000004</v>
      </c>
      <c r="E103" s="155">
        <f>28.35854+28.19444</f>
        <v>56.552980000000005</v>
      </c>
      <c r="F103" s="155">
        <f t="shared" si="1"/>
        <v>9590.3912400000008</v>
      </c>
      <c r="H103" s="118"/>
    </row>
    <row r="104" spans="1:8" s="100" customFormat="1" ht="18.75" customHeight="1" x14ac:dyDescent="0.3">
      <c r="A104" s="261"/>
      <c r="B104" s="114" t="s">
        <v>287</v>
      </c>
      <c r="C104" s="114"/>
      <c r="D104" s="115">
        <v>0</v>
      </c>
      <c r="E104" s="155">
        <v>9.5</v>
      </c>
      <c r="F104" s="155">
        <f t="shared" si="1"/>
        <v>9.5</v>
      </c>
      <c r="H104" s="118"/>
    </row>
    <row r="105" spans="1:8" s="100" customFormat="1" ht="18.75" customHeight="1" x14ac:dyDescent="0.3">
      <c r="A105" s="261"/>
      <c r="B105" s="114" t="s">
        <v>290</v>
      </c>
      <c r="C105" s="114"/>
      <c r="D105" s="115">
        <v>25849.7</v>
      </c>
      <c r="E105" s="155">
        <v>-800</v>
      </c>
      <c r="F105" s="155">
        <f t="shared" si="1"/>
        <v>25049.7</v>
      </c>
      <c r="H105" s="118"/>
    </row>
    <row r="106" spans="1:8" s="100" customFormat="1" ht="18.75" customHeight="1" x14ac:dyDescent="0.3">
      <c r="A106" s="261"/>
      <c r="B106" s="114" t="s">
        <v>389</v>
      </c>
      <c r="C106" s="114"/>
      <c r="D106" s="115">
        <v>1493.4</v>
      </c>
      <c r="E106" s="155">
        <v>-260</v>
      </c>
      <c r="F106" s="155">
        <f t="shared" si="1"/>
        <v>1233.4000000000001</v>
      </c>
      <c r="H106" s="118"/>
    </row>
    <row r="107" spans="1:8" s="100" customFormat="1" ht="18.75" customHeight="1" x14ac:dyDescent="0.3">
      <c r="A107" s="261"/>
      <c r="B107" s="114" t="s">
        <v>391</v>
      </c>
      <c r="C107" s="114"/>
      <c r="D107" s="115">
        <v>8496.7000000000007</v>
      </c>
      <c r="E107" s="155">
        <v>-173</v>
      </c>
      <c r="F107" s="155">
        <f t="shared" si="1"/>
        <v>8323.7000000000007</v>
      </c>
      <c r="H107" s="118"/>
    </row>
    <row r="108" spans="1:8" s="100" customFormat="1" ht="18.75" customHeight="1" x14ac:dyDescent="0.3">
      <c r="A108" s="261"/>
      <c r="B108" s="114" t="s">
        <v>294</v>
      </c>
      <c r="C108" s="114"/>
      <c r="D108" s="115">
        <v>12603.3</v>
      </c>
      <c r="E108" s="155">
        <v>800</v>
      </c>
      <c r="F108" s="155">
        <f t="shared" si="1"/>
        <v>13403.3</v>
      </c>
      <c r="H108" s="118"/>
    </row>
    <row r="109" spans="1:8" s="100" customFormat="1" ht="18.75" customHeight="1" x14ac:dyDescent="0.3">
      <c r="A109" s="261"/>
      <c r="B109" s="114" t="s">
        <v>291</v>
      </c>
      <c r="C109" s="114"/>
      <c r="D109" s="115">
        <v>592.20000000000005</v>
      </c>
      <c r="E109" s="155">
        <v>-10</v>
      </c>
      <c r="F109" s="155">
        <f t="shared" si="1"/>
        <v>582.20000000000005</v>
      </c>
      <c r="H109" s="118"/>
    </row>
    <row r="110" spans="1:8" s="100" customFormat="1" ht="18.75" customHeight="1" x14ac:dyDescent="0.3">
      <c r="A110" s="261"/>
      <c r="B110" s="114" t="s">
        <v>392</v>
      </c>
      <c r="C110" s="114"/>
      <c r="D110" s="115">
        <v>9.8000000000000007</v>
      </c>
      <c r="E110" s="155">
        <v>-5.0999999999999996</v>
      </c>
      <c r="F110" s="155">
        <f t="shared" si="1"/>
        <v>4.7000000000000011</v>
      </c>
      <c r="H110" s="118"/>
    </row>
    <row r="111" spans="1:8" s="100" customFormat="1" ht="18.75" customHeight="1" x14ac:dyDescent="0.3">
      <c r="A111" s="261"/>
      <c r="B111" s="114" t="s">
        <v>395</v>
      </c>
      <c r="C111" s="114"/>
      <c r="D111" s="115">
        <v>404.4</v>
      </c>
      <c r="E111" s="155">
        <v>35.1</v>
      </c>
      <c r="F111" s="155">
        <f t="shared" si="1"/>
        <v>439.5</v>
      </c>
      <c r="H111" s="118"/>
    </row>
    <row r="112" spans="1:8" s="100" customFormat="1" ht="18" customHeight="1" x14ac:dyDescent="0.3">
      <c r="A112" s="261"/>
      <c r="B112" s="114" t="s">
        <v>292</v>
      </c>
      <c r="C112" s="114"/>
      <c r="D112" s="115">
        <v>94659</v>
      </c>
      <c r="E112" s="155">
        <v>-1700</v>
      </c>
      <c r="F112" s="155">
        <f t="shared" si="1"/>
        <v>92959</v>
      </c>
      <c r="H112" s="118"/>
    </row>
    <row r="113" spans="1:8" s="100" customFormat="1" ht="18.75" customHeight="1" x14ac:dyDescent="0.3">
      <c r="A113" s="261"/>
      <c r="B113" s="114" t="s">
        <v>393</v>
      </c>
      <c r="C113" s="114"/>
      <c r="D113" s="115">
        <v>19193</v>
      </c>
      <c r="E113" s="155">
        <v>-1208</v>
      </c>
      <c r="F113" s="155">
        <f t="shared" si="1"/>
        <v>17985</v>
      </c>
      <c r="H113" s="118"/>
    </row>
    <row r="114" spans="1:8" s="100" customFormat="1" ht="18.75" customHeight="1" x14ac:dyDescent="0.3">
      <c r="A114" s="261"/>
      <c r="B114" s="114" t="s">
        <v>394</v>
      </c>
      <c r="C114" s="114"/>
      <c r="D114" s="115">
        <v>27683</v>
      </c>
      <c r="E114" s="155">
        <v>-2344</v>
      </c>
      <c r="F114" s="155">
        <f t="shared" si="1"/>
        <v>25339</v>
      </c>
      <c r="H114" s="118"/>
    </row>
    <row r="115" spans="1:8" s="100" customFormat="1" ht="18.75" customHeight="1" x14ac:dyDescent="0.3">
      <c r="A115" s="261"/>
      <c r="B115" s="114" t="s">
        <v>289</v>
      </c>
      <c r="C115" s="114"/>
      <c r="D115" s="115">
        <v>11125.7</v>
      </c>
      <c r="E115" s="155">
        <v>11</v>
      </c>
      <c r="F115" s="155">
        <f t="shared" si="1"/>
        <v>11136.7</v>
      </c>
      <c r="H115" s="118"/>
    </row>
    <row r="116" spans="1:8" s="100" customFormat="1" ht="18.75" customHeight="1" x14ac:dyDescent="0.3">
      <c r="A116" s="261"/>
      <c r="B116" s="114" t="s">
        <v>399</v>
      </c>
      <c r="C116" s="114"/>
      <c r="D116" s="115">
        <v>84.7</v>
      </c>
      <c r="E116" s="155">
        <v>-8</v>
      </c>
      <c r="F116" s="155">
        <f t="shared" si="1"/>
        <v>76.7</v>
      </c>
      <c r="H116" s="118"/>
    </row>
    <row r="117" spans="1:8" s="100" customFormat="1" ht="18.75" customHeight="1" x14ac:dyDescent="0.3">
      <c r="A117" s="261"/>
      <c r="B117" s="114" t="s">
        <v>288</v>
      </c>
      <c r="C117" s="114"/>
      <c r="D117" s="115">
        <v>1128.5</v>
      </c>
      <c r="E117" s="155">
        <v>-129</v>
      </c>
      <c r="F117" s="155">
        <f t="shared" ref="F117:F125" si="2">D117+E117</f>
        <v>999.5</v>
      </c>
      <c r="H117" s="118"/>
    </row>
    <row r="118" spans="1:8" s="100" customFormat="1" ht="18.75" customHeight="1" x14ac:dyDescent="0.3">
      <c r="A118" s="261"/>
      <c r="B118" s="114" t="s">
        <v>293</v>
      </c>
      <c r="C118" s="114"/>
      <c r="D118" s="115">
        <v>462.2</v>
      </c>
      <c r="E118" s="155">
        <v>15</v>
      </c>
      <c r="F118" s="155">
        <f t="shared" si="2"/>
        <v>477.2</v>
      </c>
      <c r="H118" s="118"/>
    </row>
    <row r="119" spans="1:8" s="100" customFormat="1" ht="18.75" customHeight="1" x14ac:dyDescent="0.3">
      <c r="A119" s="261"/>
      <c r="B119" s="114" t="s">
        <v>104</v>
      </c>
      <c r="C119" s="114"/>
      <c r="D119" s="115">
        <v>98080</v>
      </c>
      <c r="E119" s="155">
        <v>-600</v>
      </c>
      <c r="F119" s="155">
        <f t="shared" si="2"/>
        <v>97480</v>
      </c>
      <c r="H119" s="118"/>
    </row>
    <row r="120" spans="1:8" s="100" customFormat="1" ht="18.75" customHeight="1" x14ac:dyDescent="0.3">
      <c r="A120" s="261"/>
      <c r="B120" s="114" t="s">
        <v>295</v>
      </c>
      <c r="C120" s="114"/>
      <c r="D120" s="115">
        <v>1143.4000000000001</v>
      </c>
      <c r="E120" s="155">
        <f>148.63468+0.6</f>
        <v>149.23468</v>
      </c>
      <c r="F120" s="155">
        <f t="shared" si="2"/>
        <v>1292.6346800000001</v>
      </c>
      <c r="H120" s="118"/>
    </row>
    <row r="121" spans="1:8" s="100" customFormat="1" ht="18.75" customHeight="1" x14ac:dyDescent="0.3">
      <c r="A121" s="261"/>
      <c r="B121" s="114" t="s">
        <v>296</v>
      </c>
      <c r="C121" s="114"/>
      <c r="D121" s="115">
        <v>166.6</v>
      </c>
      <c r="E121" s="155">
        <v>24.74051</v>
      </c>
      <c r="F121" s="155">
        <f t="shared" si="2"/>
        <v>191.34050999999999</v>
      </c>
      <c r="H121" s="118"/>
    </row>
    <row r="122" spans="1:8" s="100" customFormat="1" ht="18.75" customHeight="1" x14ac:dyDescent="0.3">
      <c r="A122" s="261"/>
      <c r="B122" s="114" t="s">
        <v>388</v>
      </c>
      <c r="C122" s="114"/>
      <c r="D122" s="115">
        <v>749</v>
      </c>
      <c r="E122" s="155">
        <v>-40</v>
      </c>
      <c r="F122" s="155">
        <f t="shared" si="2"/>
        <v>709</v>
      </c>
      <c r="H122" s="118"/>
    </row>
    <row r="123" spans="1:8" s="100" customFormat="1" ht="18.75" customHeight="1" x14ac:dyDescent="0.3">
      <c r="A123" s="261"/>
      <c r="B123" s="114" t="s">
        <v>106</v>
      </c>
      <c r="C123" s="114"/>
      <c r="D123" s="115">
        <v>52960</v>
      </c>
      <c r="E123" s="155">
        <v>-7950</v>
      </c>
      <c r="F123" s="155">
        <f t="shared" si="2"/>
        <v>45010</v>
      </c>
      <c r="H123" s="118"/>
    </row>
    <row r="124" spans="1:8" s="100" customFormat="1" ht="18.75" customHeight="1" x14ac:dyDescent="0.3">
      <c r="A124" s="261"/>
      <c r="B124" s="114" t="s">
        <v>302</v>
      </c>
      <c r="C124" s="114"/>
      <c r="D124" s="115">
        <v>40930</v>
      </c>
      <c r="E124" s="155">
        <v>-4630.3999999999996</v>
      </c>
      <c r="F124" s="155">
        <f t="shared" si="2"/>
        <v>36299.599999999999</v>
      </c>
      <c r="H124" s="118"/>
    </row>
    <row r="125" spans="1:8" s="100" customFormat="1" ht="18.75" customHeight="1" x14ac:dyDescent="0.3">
      <c r="A125" s="261"/>
      <c r="B125" s="114" t="s">
        <v>397</v>
      </c>
      <c r="C125" s="114"/>
      <c r="D125" s="115">
        <v>205</v>
      </c>
      <c r="E125" s="155">
        <v>-28</v>
      </c>
      <c r="F125" s="155">
        <f t="shared" si="2"/>
        <v>177</v>
      </c>
      <c r="H125" s="118"/>
    </row>
    <row r="126" spans="1:8" s="100" customFormat="1" ht="18.75" customHeight="1" x14ac:dyDescent="0.3">
      <c r="A126" s="261"/>
      <c r="B126" s="114" t="s">
        <v>326</v>
      </c>
      <c r="C126" s="114"/>
      <c r="D126" s="115">
        <v>19745</v>
      </c>
      <c r="E126" s="155">
        <v>1403.0639799999999</v>
      </c>
      <c r="F126" s="155">
        <f t="shared" si="1"/>
        <v>21148.063979999999</v>
      </c>
      <c r="H126" s="118"/>
    </row>
    <row r="127" spans="1:8" s="100" customFormat="1" ht="18.75" customHeight="1" x14ac:dyDescent="0.3">
      <c r="A127" s="264" t="s">
        <v>26</v>
      </c>
      <c r="B127" s="114" t="s">
        <v>279</v>
      </c>
      <c r="C127" s="114"/>
      <c r="D127" s="115">
        <v>190886.39999999999</v>
      </c>
      <c r="E127" s="155">
        <v>31316.400000000001</v>
      </c>
      <c r="F127" s="155">
        <f>D127+E127</f>
        <v>222202.8</v>
      </c>
      <c r="H127" s="118"/>
    </row>
    <row r="128" spans="1:8" s="100" customFormat="1" ht="18.75" customHeight="1" x14ac:dyDescent="0.3">
      <c r="A128" s="265"/>
      <c r="B128" s="114" t="s">
        <v>320</v>
      </c>
      <c r="C128" s="114"/>
      <c r="D128" s="115">
        <v>4815.7</v>
      </c>
      <c r="E128" s="155">
        <v>23.6</v>
      </c>
      <c r="F128" s="155">
        <f>D128+E128</f>
        <v>4839.3</v>
      </c>
      <c r="H128" s="118"/>
    </row>
    <row r="129" spans="1:8" s="100" customFormat="1" ht="18.75" customHeight="1" x14ac:dyDescent="0.3">
      <c r="A129" s="266"/>
      <c r="B129" s="114" t="s">
        <v>321</v>
      </c>
      <c r="C129" s="114"/>
      <c r="D129" s="115">
        <v>14135.7</v>
      </c>
      <c r="E129" s="155">
        <v>26941</v>
      </c>
      <c r="F129" s="155">
        <f>D129+E129</f>
        <v>41076.699999999997</v>
      </c>
      <c r="H129" s="118"/>
    </row>
    <row r="130" spans="1:8" ht="22.5" customHeight="1" x14ac:dyDescent="0.35">
      <c r="A130" s="97" t="s">
        <v>6</v>
      </c>
      <c r="B130" s="263"/>
      <c r="C130" s="263"/>
      <c r="D130" s="101"/>
      <c r="E130" s="102">
        <f>SUM(E88:E129)</f>
        <v>61221.47507</v>
      </c>
      <c r="F130" s="101"/>
      <c r="G130" s="103"/>
      <c r="H130" s="118"/>
    </row>
    <row r="131" spans="1:8" ht="22.5" customHeight="1" x14ac:dyDescent="0.3">
      <c r="A131" s="262" t="s">
        <v>270</v>
      </c>
      <c r="B131" s="262"/>
      <c r="C131" s="262"/>
      <c r="D131" s="262"/>
      <c r="E131" s="262"/>
      <c r="F131" s="262"/>
    </row>
    <row r="132" spans="1:8" ht="18" customHeight="1" x14ac:dyDescent="0.3">
      <c r="A132" s="229" t="s">
        <v>244</v>
      </c>
      <c r="B132" s="229"/>
      <c r="C132" s="229"/>
      <c r="D132" s="229"/>
      <c r="E132" s="229"/>
      <c r="F132" s="229"/>
    </row>
    <row r="133" spans="1:8" ht="83.25" customHeight="1" x14ac:dyDescent="0.3">
      <c r="A133" s="229" t="s">
        <v>423</v>
      </c>
      <c r="B133" s="229"/>
      <c r="C133" s="229"/>
      <c r="D133" s="229"/>
      <c r="E133" s="229"/>
      <c r="F133" s="229"/>
    </row>
    <row r="134" spans="1:8" ht="94.5" customHeight="1" x14ac:dyDescent="0.3">
      <c r="A134" s="218" t="s">
        <v>424</v>
      </c>
      <c r="B134" s="218"/>
      <c r="C134" s="218"/>
      <c r="D134" s="218"/>
      <c r="E134" s="218"/>
      <c r="F134" s="218"/>
    </row>
    <row r="135" spans="1:8" ht="117" customHeight="1" x14ac:dyDescent="0.3">
      <c r="A135" s="218" t="s">
        <v>337</v>
      </c>
      <c r="B135" s="218"/>
      <c r="C135" s="218"/>
      <c r="D135" s="218"/>
      <c r="E135" s="218"/>
      <c r="F135" s="218"/>
    </row>
    <row r="136" spans="1:8" ht="60.75" customHeight="1" x14ac:dyDescent="0.3">
      <c r="A136" s="218" t="s">
        <v>416</v>
      </c>
      <c r="B136" s="218"/>
      <c r="C136" s="218"/>
      <c r="D136" s="218"/>
      <c r="E136" s="218"/>
      <c r="F136" s="218"/>
    </row>
    <row r="137" spans="1:8" ht="66.75" customHeight="1" x14ac:dyDescent="0.3">
      <c r="A137" s="218" t="s">
        <v>425</v>
      </c>
      <c r="B137" s="218"/>
      <c r="C137" s="218"/>
      <c r="D137" s="218"/>
      <c r="E137" s="218"/>
      <c r="F137" s="218"/>
    </row>
    <row r="138" spans="1:8" ht="61.5" customHeight="1" x14ac:dyDescent="0.3">
      <c r="A138" s="218" t="s">
        <v>426</v>
      </c>
      <c r="B138" s="218"/>
      <c r="C138" s="218"/>
      <c r="D138" s="218"/>
      <c r="E138" s="218"/>
      <c r="F138" s="218"/>
    </row>
    <row r="139" spans="1:8" ht="135.75" customHeight="1" x14ac:dyDescent="0.3">
      <c r="A139" s="218" t="s">
        <v>427</v>
      </c>
      <c r="B139" s="218"/>
      <c r="C139" s="218"/>
      <c r="D139" s="218"/>
      <c r="E139" s="218"/>
      <c r="F139" s="218"/>
    </row>
    <row r="140" spans="1:8" ht="103.5" customHeight="1" x14ac:dyDescent="0.3">
      <c r="A140" s="218" t="s">
        <v>428</v>
      </c>
      <c r="B140" s="218"/>
      <c r="C140" s="218"/>
      <c r="D140" s="218"/>
      <c r="E140" s="218"/>
      <c r="F140" s="218"/>
    </row>
    <row r="141" spans="1:8" ht="54" customHeight="1" x14ac:dyDescent="0.3">
      <c r="A141" s="218" t="s">
        <v>429</v>
      </c>
      <c r="B141" s="218"/>
      <c r="C141" s="218"/>
      <c r="D141" s="218"/>
      <c r="E141" s="218"/>
      <c r="F141" s="218"/>
    </row>
    <row r="142" spans="1:8" ht="62.25" customHeight="1" x14ac:dyDescent="0.3">
      <c r="A142" s="218" t="s">
        <v>430</v>
      </c>
      <c r="B142" s="218"/>
      <c r="C142" s="218"/>
      <c r="D142" s="218"/>
      <c r="E142" s="218"/>
      <c r="F142" s="218"/>
    </row>
    <row r="143" spans="1:8" s="90" customFormat="1" ht="27.75" customHeight="1" x14ac:dyDescent="0.3">
      <c r="A143" s="229" t="s">
        <v>85</v>
      </c>
      <c r="B143" s="229"/>
      <c r="C143" s="229"/>
      <c r="D143" s="229"/>
      <c r="E143" s="229"/>
      <c r="F143" s="229"/>
      <c r="H143" s="87"/>
    </row>
    <row r="144" spans="1:8" s="90" customFormat="1" ht="69.75" customHeight="1" x14ac:dyDescent="0.3">
      <c r="A144" s="218" t="s">
        <v>435</v>
      </c>
      <c r="B144" s="218"/>
      <c r="C144" s="218"/>
      <c r="D144" s="218"/>
      <c r="E144" s="218"/>
      <c r="F144" s="218"/>
      <c r="H144" s="87"/>
    </row>
    <row r="145" spans="1:8" ht="24.75" customHeight="1" x14ac:dyDescent="0.3">
      <c r="A145" s="140" t="s">
        <v>31</v>
      </c>
      <c r="B145" s="147"/>
      <c r="C145" s="147"/>
      <c r="D145" s="147"/>
      <c r="E145" s="147"/>
      <c r="F145" s="147"/>
    </row>
    <row r="146" spans="1:8" ht="60.75" customHeight="1" x14ac:dyDescent="0.3">
      <c r="A146" s="218" t="s">
        <v>431</v>
      </c>
      <c r="B146" s="229"/>
      <c r="C146" s="229"/>
      <c r="D146" s="229"/>
      <c r="E146" s="229"/>
      <c r="F146" s="229"/>
    </row>
    <row r="147" spans="1:8" ht="243" customHeight="1" x14ac:dyDescent="0.3">
      <c r="A147" s="218" t="s">
        <v>432</v>
      </c>
      <c r="B147" s="218"/>
      <c r="C147" s="218"/>
      <c r="D147" s="218"/>
      <c r="E147" s="218"/>
      <c r="F147" s="218"/>
    </row>
    <row r="148" spans="1:8" ht="29.25" customHeight="1" x14ac:dyDescent="0.3">
      <c r="A148" s="218" t="s">
        <v>325</v>
      </c>
      <c r="B148" s="218"/>
      <c r="C148" s="218"/>
      <c r="D148" s="218"/>
      <c r="E148" s="218"/>
      <c r="F148" s="218"/>
    </row>
    <row r="149" spans="1:8" ht="47.25" customHeight="1" x14ac:dyDescent="0.3">
      <c r="A149" s="218" t="s">
        <v>434</v>
      </c>
      <c r="B149" s="218"/>
      <c r="C149" s="218"/>
      <c r="D149" s="218"/>
      <c r="E149" s="218"/>
      <c r="F149" s="218"/>
    </row>
    <row r="150" spans="1:8" ht="103.5" customHeight="1" x14ac:dyDescent="0.3">
      <c r="A150" s="217" t="s">
        <v>433</v>
      </c>
      <c r="B150" s="217"/>
      <c r="C150" s="217"/>
      <c r="D150" s="217"/>
      <c r="E150" s="217"/>
      <c r="F150" s="217"/>
    </row>
    <row r="151" spans="1:8" ht="18.75" x14ac:dyDescent="0.25">
      <c r="A151" s="141" t="s">
        <v>1</v>
      </c>
      <c r="B151" s="239" t="s">
        <v>2</v>
      </c>
      <c r="C151" s="240"/>
      <c r="D151" s="142" t="s">
        <v>3</v>
      </c>
      <c r="E151" s="142" t="s">
        <v>4</v>
      </c>
      <c r="F151" s="142" t="s">
        <v>5</v>
      </c>
    </row>
    <row r="152" spans="1:8" ht="18.75" customHeight="1" x14ac:dyDescent="0.3">
      <c r="A152" s="220" t="s">
        <v>30</v>
      </c>
      <c r="B152" s="233" t="s">
        <v>341</v>
      </c>
      <c r="C152" s="234"/>
      <c r="D152" s="119">
        <v>228.8</v>
      </c>
      <c r="E152" s="121">
        <v>-228.8</v>
      </c>
      <c r="F152" s="120">
        <f t="shared" ref="F152:F212" si="3">SUM(D152:E152)</f>
        <v>0</v>
      </c>
      <c r="H152" s="79"/>
    </row>
    <row r="153" spans="1:8" ht="18.75" customHeight="1" x14ac:dyDescent="0.3">
      <c r="A153" s="220"/>
      <c r="B153" s="233" t="s">
        <v>342</v>
      </c>
      <c r="C153" s="234"/>
      <c r="D153" s="119">
        <v>0</v>
      </c>
      <c r="E153" s="121">
        <v>228.8</v>
      </c>
      <c r="F153" s="120">
        <f t="shared" si="3"/>
        <v>228.8</v>
      </c>
      <c r="H153" s="79"/>
    </row>
    <row r="154" spans="1:8" ht="18.75" x14ac:dyDescent="0.3">
      <c r="A154" s="227" t="s">
        <v>305</v>
      </c>
      <c r="B154" s="116" t="s">
        <v>306</v>
      </c>
      <c r="C154" s="117"/>
      <c r="D154" s="115">
        <v>1714.9</v>
      </c>
      <c r="E154" s="115">
        <v>-2.9</v>
      </c>
      <c r="F154" s="120">
        <f t="shared" ref="F154:F155" si="4">SUM(D154:E154)</f>
        <v>1712</v>
      </c>
      <c r="H154" s="79"/>
    </row>
    <row r="155" spans="1:8" ht="18.75" x14ac:dyDescent="0.3">
      <c r="A155" s="236"/>
      <c r="B155" s="116" t="s">
        <v>324</v>
      </c>
      <c r="C155" s="117"/>
      <c r="D155" s="115">
        <v>766.3</v>
      </c>
      <c r="E155" s="115">
        <v>2.9</v>
      </c>
      <c r="F155" s="120">
        <f t="shared" si="4"/>
        <v>769.19999999999993</v>
      </c>
      <c r="H155" s="79"/>
    </row>
    <row r="156" spans="1:8" ht="19.5" thickBot="1" x14ac:dyDescent="0.35">
      <c r="A156" s="139" t="s">
        <v>34</v>
      </c>
      <c r="B156" s="116" t="s">
        <v>318</v>
      </c>
      <c r="C156" s="117"/>
      <c r="D156" s="115">
        <v>4027.4</v>
      </c>
      <c r="E156" s="115">
        <v>-3000</v>
      </c>
      <c r="F156" s="120">
        <f t="shared" ref="F156" si="5">SUM(D156:E156)</f>
        <v>1027.4000000000001</v>
      </c>
      <c r="H156" s="79"/>
    </row>
    <row r="157" spans="1:8" ht="18.75" x14ac:dyDescent="0.3">
      <c r="A157" s="235" t="s">
        <v>8</v>
      </c>
      <c r="B157" s="116" t="s">
        <v>330</v>
      </c>
      <c r="C157" s="117"/>
      <c r="D157" s="115">
        <v>264</v>
      </c>
      <c r="E157" s="115">
        <v>-24</v>
      </c>
      <c r="F157" s="120">
        <f t="shared" ref="F157:F159" si="6">SUM(D157:E157)</f>
        <v>240</v>
      </c>
      <c r="H157" s="79"/>
    </row>
    <row r="158" spans="1:8" ht="18.75" x14ac:dyDescent="0.3">
      <c r="A158" s="228"/>
      <c r="B158" s="116" t="s">
        <v>280</v>
      </c>
      <c r="C158" s="117"/>
      <c r="D158" s="115">
        <f>F89</f>
        <v>29171.5</v>
      </c>
      <c r="E158" s="115">
        <v>25.3</v>
      </c>
      <c r="F158" s="120">
        <f t="shared" si="6"/>
        <v>29196.799999999999</v>
      </c>
      <c r="H158" s="79"/>
    </row>
    <row r="159" spans="1:8" ht="18.75" x14ac:dyDescent="0.3">
      <c r="A159" s="228"/>
      <c r="B159" s="116" t="s">
        <v>281</v>
      </c>
      <c r="C159" s="117"/>
      <c r="D159" s="115">
        <v>12970.1</v>
      </c>
      <c r="E159" s="115">
        <v>24</v>
      </c>
      <c r="F159" s="120">
        <f t="shared" si="6"/>
        <v>12994.1</v>
      </c>
      <c r="H159" s="79"/>
    </row>
    <row r="160" spans="1:8" ht="18.75" x14ac:dyDescent="0.3">
      <c r="A160" s="228"/>
      <c r="B160" s="116" t="s">
        <v>253</v>
      </c>
      <c r="C160" s="117"/>
      <c r="D160" s="115">
        <f>F90</f>
        <v>170199</v>
      </c>
      <c r="E160" s="115">
        <f>-2733.7+26.3-25.3</f>
        <v>-2732.7</v>
      </c>
      <c r="F160" s="120">
        <f t="shared" si="3"/>
        <v>167466.29999999999</v>
      </c>
      <c r="H160" s="79"/>
    </row>
    <row r="161" spans="1:6" s="79" customFormat="1" ht="18.75" x14ac:dyDescent="0.3">
      <c r="A161" s="228"/>
      <c r="B161" s="116" t="s">
        <v>264</v>
      </c>
      <c r="C161" s="117"/>
      <c r="D161" s="115">
        <v>323.8</v>
      </c>
      <c r="E161" s="115">
        <v>7.3</v>
      </c>
      <c r="F161" s="120">
        <f t="shared" ref="F161" si="7">SUM(D161:E161)</f>
        <v>331.1</v>
      </c>
    </row>
    <row r="162" spans="1:6" s="79" customFormat="1" ht="18.75" x14ac:dyDescent="0.3">
      <c r="A162" s="228"/>
      <c r="B162" s="116" t="s">
        <v>256</v>
      </c>
      <c r="C162" s="117"/>
      <c r="D162" s="115">
        <v>1718.3</v>
      </c>
      <c r="E162" s="115">
        <v>41.8</v>
      </c>
      <c r="F162" s="120">
        <f t="shared" si="3"/>
        <v>1760.1</v>
      </c>
    </row>
    <row r="163" spans="1:6" s="79" customFormat="1" ht="18.75" x14ac:dyDescent="0.3">
      <c r="A163" s="228"/>
      <c r="B163" s="116" t="s">
        <v>255</v>
      </c>
      <c r="C163" s="117"/>
      <c r="D163" s="115">
        <v>6874.8</v>
      </c>
      <c r="E163" s="115">
        <f>203.7+86</f>
        <v>289.7</v>
      </c>
      <c r="F163" s="120">
        <f t="shared" si="3"/>
        <v>7164.5</v>
      </c>
    </row>
    <row r="164" spans="1:6" s="79" customFormat="1" ht="18.75" x14ac:dyDescent="0.3">
      <c r="A164" s="228"/>
      <c r="B164" s="116" t="s">
        <v>317</v>
      </c>
      <c r="C164" s="117"/>
      <c r="D164" s="115">
        <v>1197.5</v>
      </c>
      <c r="E164" s="115">
        <f>108.003+59.5</f>
        <v>167.50299999999999</v>
      </c>
      <c r="F164" s="120">
        <f t="shared" si="3"/>
        <v>1365.0029999999999</v>
      </c>
    </row>
    <row r="165" spans="1:6" s="79" customFormat="1" ht="18.75" x14ac:dyDescent="0.3">
      <c r="A165" s="228"/>
      <c r="B165" s="116" t="s">
        <v>260</v>
      </c>
      <c r="C165" s="117"/>
      <c r="D165" s="115">
        <v>8593.9</v>
      </c>
      <c r="E165" s="115">
        <f>120-133.8</f>
        <v>-13.800000000000011</v>
      </c>
      <c r="F165" s="120">
        <f t="shared" si="3"/>
        <v>8580.1</v>
      </c>
    </row>
    <row r="166" spans="1:6" s="79" customFormat="1" ht="18.75" x14ac:dyDescent="0.3">
      <c r="A166" s="228"/>
      <c r="B166" s="116" t="s">
        <v>284</v>
      </c>
      <c r="C166" s="117"/>
      <c r="D166" s="115">
        <f>F95</f>
        <v>7754.3</v>
      </c>
      <c r="E166" s="115">
        <v>5996.3</v>
      </c>
      <c r="F166" s="120">
        <f t="shared" si="3"/>
        <v>13750.6</v>
      </c>
    </row>
    <row r="167" spans="1:6" s="79" customFormat="1" ht="18.75" x14ac:dyDescent="0.3">
      <c r="A167" s="228"/>
      <c r="B167" s="116" t="s">
        <v>331</v>
      </c>
      <c r="C167" s="117"/>
      <c r="D167" s="115">
        <v>1321.6</v>
      </c>
      <c r="E167" s="115">
        <v>-233.37</v>
      </c>
      <c r="F167" s="120">
        <f t="shared" si="3"/>
        <v>1088.23</v>
      </c>
    </row>
    <row r="168" spans="1:6" s="79" customFormat="1" ht="18.75" x14ac:dyDescent="0.3">
      <c r="A168" s="228"/>
      <c r="B168" s="116" t="s">
        <v>283</v>
      </c>
      <c r="C168" s="117"/>
      <c r="D168" s="115">
        <v>75854.2</v>
      </c>
      <c r="E168" s="115">
        <f>2517.57+89.6</f>
        <v>2607.17</v>
      </c>
      <c r="F168" s="120">
        <f t="shared" si="3"/>
        <v>78461.37</v>
      </c>
    </row>
    <row r="169" spans="1:6" s="79" customFormat="1" ht="18.75" x14ac:dyDescent="0.3">
      <c r="A169" s="228"/>
      <c r="B169" s="116" t="s">
        <v>259</v>
      </c>
      <c r="C169" s="117"/>
      <c r="D169" s="115">
        <v>6978.4</v>
      </c>
      <c r="E169" s="115">
        <v>83.1</v>
      </c>
      <c r="F169" s="120">
        <f t="shared" ref="F169" si="8">SUM(D169:E169)</f>
        <v>7061.5</v>
      </c>
    </row>
    <row r="170" spans="1:6" s="79" customFormat="1" ht="18.75" x14ac:dyDescent="0.3">
      <c r="A170" s="228"/>
      <c r="B170" s="116" t="s">
        <v>261</v>
      </c>
      <c r="C170" s="117"/>
      <c r="D170" s="115">
        <v>1919.6</v>
      </c>
      <c r="E170" s="115">
        <f>454.997-211.4</f>
        <v>243.59700000000001</v>
      </c>
      <c r="F170" s="120">
        <f t="shared" si="3"/>
        <v>2163.1970000000001</v>
      </c>
    </row>
    <row r="171" spans="1:6" s="79" customFormat="1" ht="18.75" x14ac:dyDescent="0.3">
      <c r="A171" s="228"/>
      <c r="B171" s="116" t="s">
        <v>254</v>
      </c>
      <c r="C171" s="117"/>
      <c r="D171" s="115">
        <f>F91</f>
        <v>141884.5</v>
      </c>
      <c r="E171" s="115">
        <f>449.5-48.4+293.2+796.05</f>
        <v>1490.35</v>
      </c>
      <c r="F171" s="120">
        <f t="shared" si="3"/>
        <v>143374.85</v>
      </c>
    </row>
    <row r="172" spans="1:6" s="79" customFormat="1" ht="18.75" x14ac:dyDescent="0.3">
      <c r="A172" s="228"/>
      <c r="B172" s="116" t="s">
        <v>338</v>
      </c>
      <c r="C172" s="117"/>
      <c r="D172" s="115">
        <v>6079.2</v>
      </c>
      <c r="E172" s="115">
        <v>-293.2</v>
      </c>
      <c r="F172" s="120">
        <f t="shared" si="3"/>
        <v>5786</v>
      </c>
    </row>
    <row r="173" spans="1:6" s="79" customFormat="1" ht="18.75" x14ac:dyDescent="0.3">
      <c r="A173" s="228"/>
      <c r="B173" s="116" t="s">
        <v>314</v>
      </c>
      <c r="C173" s="117"/>
      <c r="D173" s="115">
        <f>F94</f>
        <v>20487.599999999999</v>
      </c>
      <c r="E173" s="115">
        <v>-6.5</v>
      </c>
      <c r="F173" s="120">
        <f t="shared" ref="F173:F176" si="9">SUM(D173:E173)</f>
        <v>20481.099999999999</v>
      </c>
    </row>
    <row r="174" spans="1:6" s="79" customFormat="1" ht="18.75" x14ac:dyDescent="0.3">
      <c r="A174" s="228"/>
      <c r="B174" s="116" t="s">
        <v>336</v>
      </c>
      <c r="C174" s="117"/>
      <c r="D174" s="115">
        <v>7664.8</v>
      </c>
      <c r="E174" s="115">
        <v>-363.4</v>
      </c>
      <c r="F174" s="120">
        <f t="shared" si="9"/>
        <v>7301.4000000000005</v>
      </c>
    </row>
    <row r="175" spans="1:6" s="79" customFormat="1" ht="18.75" x14ac:dyDescent="0.3">
      <c r="A175" s="236"/>
      <c r="B175" s="116" t="s">
        <v>340</v>
      </c>
      <c r="C175" s="117"/>
      <c r="D175" s="115">
        <v>4887.7</v>
      </c>
      <c r="E175" s="115">
        <v>-789.55</v>
      </c>
      <c r="F175" s="120">
        <f t="shared" si="9"/>
        <v>4098.1499999999996</v>
      </c>
    </row>
    <row r="176" spans="1:6" s="79" customFormat="1" ht="18.75" x14ac:dyDescent="0.3">
      <c r="A176" s="227" t="s">
        <v>14</v>
      </c>
      <c r="B176" s="114" t="s">
        <v>278</v>
      </c>
      <c r="C176" s="114"/>
      <c r="D176" s="115">
        <v>692.7</v>
      </c>
      <c r="E176" s="115">
        <v>6.9</v>
      </c>
      <c r="F176" s="120">
        <f t="shared" si="9"/>
        <v>699.6</v>
      </c>
    </row>
    <row r="177" spans="1:6" ht="18.75" x14ac:dyDescent="0.3">
      <c r="A177" s="228"/>
      <c r="B177" s="114" t="s">
        <v>316</v>
      </c>
      <c r="C177" s="114"/>
      <c r="D177" s="115">
        <v>150.4</v>
      </c>
      <c r="E177" s="115">
        <v>-126.4</v>
      </c>
      <c r="F177" s="120">
        <f t="shared" ref="F177" si="10">SUM(D177:E177)</f>
        <v>24</v>
      </c>
    </row>
    <row r="178" spans="1:6" ht="18.75" x14ac:dyDescent="0.3">
      <c r="A178" s="228"/>
      <c r="B178" s="114" t="s">
        <v>249</v>
      </c>
      <c r="C178" s="114"/>
      <c r="D178" s="115">
        <v>33948</v>
      </c>
      <c r="E178" s="115">
        <v>109.1</v>
      </c>
      <c r="F178" s="120">
        <f t="shared" si="3"/>
        <v>34057.1</v>
      </c>
    </row>
    <row r="179" spans="1:6" ht="18.75" x14ac:dyDescent="0.3">
      <c r="A179" s="228"/>
      <c r="B179" s="114" t="s">
        <v>315</v>
      </c>
      <c r="C179" s="114"/>
      <c r="D179" s="115">
        <v>2074.1999999999998</v>
      </c>
      <c r="E179" s="115">
        <v>35.5</v>
      </c>
      <c r="F179" s="120">
        <f t="shared" si="3"/>
        <v>2109.6999999999998</v>
      </c>
    </row>
    <row r="180" spans="1:6" ht="18.75" x14ac:dyDescent="0.3">
      <c r="A180" s="228"/>
      <c r="B180" s="114" t="s">
        <v>297</v>
      </c>
      <c r="C180" s="114"/>
      <c r="D180" s="115">
        <v>61595.5</v>
      </c>
      <c r="E180" s="115">
        <v>92.8</v>
      </c>
      <c r="F180" s="120">
        <f t="shared" si="3"/>
        <v>61688.3</v>
      </c>
    </row>
    <row r="181" spans="1:6" ht="18.75" x14ac:dyDescent="0.3">
      <c r="A181" s="228"/>
      <c r="B181" s="114" t="s">
        <v>303</v>
      </c>
      <c r="C181" s="114"/>
      <c r="D181" s="115">
        <v>4497.5</v>
      </c>
      <c r="E181" s="115">
        <v>5.5</v>
      </c>
      <c r="F181" s="120">
        <f t="shared" si="3"/>
        <v>4503</v>
      </c>
    </row>
    <row r="182" spans="1:6" ht="18.75" x14ac:dyDescent="0.3">
      <c r="A182" s="228"/>
      <c r="B182" s="114" t="s">
        <v>298</v>
      </c>
      <c r="C182" s="114"/>
      <c r="D182" s="115">
        <v>20052.8</v>
      </c>
      <c r="E182" s="115">
        <v>11.6</v>
      </c>
      <c r="F182" s="120">
        <f t="shared" si="3"/>
        <v>20064.399999999998</v>
      </c>
    </row>
    <row r="183" spans="1:6" ht="18.75" x14ac:dyDescent="0.3">
      <c r="A183" s="228"/>
      <c r="B183" s="114" t="s">
        <v>304</v>
      </c>
      <c r="C183" s="114"/>
      <c r="D183" s="115">
        <v>70.8</v>
      </c>
      <c r="E183" s="115">
        <v>-4.2</v>
      </c>
      <c r="F183" s="120">
        <f t="shared" si="3"/>
        <v>66.599999999999994</v>
      </c>
    </row>
    <row r="184" spans="1:6" ht="18.75" x14ac:dyDescent="0.3">
      <c r="A184" s="228"/>
      <c r="B184" s="114" t="s">
        <v>313</v>
      </c>
      <c r="C184" s="114"/>
      <c r="D184" s="115">
        <v>21598.799999999999</v>
      </c>
      <c r="E184" s="115">
        <v>-103.5</v>
      </c>
      <c r="F184" s="120">
        <f t="shared" si="3"/>
        <v>21495.3</v>
      </c>
    </row>
    <row r="185" spans="1:6" ht="18.75" x14ac:dyDescent="0.3">
      <c r="A185" s="228"/>
      <c r="B185" s="114" t="s">
        <v>285</v>
      </c>
      <c r="C185" s="114"/>
      <c r="D185" s="115">
        <v>497.8</v>
      </c>
      <c r="E185" s="115">
        <v>-27.3</v>
      </c>
      <c r="F185" s="120">
        <f t="shared" si="3"/>
        <v>470.5</v>
      </c>
    </row>
    <row r="186" spans="1:6" ht="18.75" x14ac:dyDescent="0.3">
      <c r="A186" s="220" t="s">
        <v>299</v>
      </c>
      <c r="B186" s="114" t="s">
        <v>327</v>
      </c>
      <c r="C186" s="114"/>
      <c r="D186" s="115">
        <v>1304.8</v>
      </c>
      <c r="E186" s="115">
        <v>-3</v>
      </c>
      <c r="F186" s="120">
        <f t="shared" si="3"/>
        <v>1301.8</v>
      </c>
    </row>
    <row r="187" spans="1:6" ht="18.75" x14ac:dyDescent="0.3">
      <c r="A187" s="220"/>
      <c r="B187" s="114" t="s">
        <v>328</v>
      </c>
      <c r="C187" s="114"/>
      <c r="D187" s="115">
        <v>42</v>
      </c>
      <c r="E187" s="115">
        <v>-3.6</v>
      </c>
      <c r="F187" s="120">
        <f t="shared" si="3"/>
        <v>38.4</v>
      </c>
    </row>
    <row r="188" spans="1:6" ht="18.75" x14ac:dyDescent="0.3">
      <c r="A188" s="220"/>
      <c r="B188" s="114" t="s">
        <v>329</v>
      </c>
      <c r="C188" s="114"/>
      <c r="D188" s="115">
        <v>3824.9</v>
      </c>
      <c r="E188" s="115">
        <v>-0.7</v>
      </c>
      <c r="F188" s="120">
        <f t="shared" si="3"/>
        <v>3824.2000000000003</v>
      </c>
    </row>
    <row r="189" spans="1:6" ht="18.75" x14ac:dyDescent="0.3">
      <c r="A189" s="220"/>
      <c r="B189" s="114" t="s">
        <v>300</v>
      </c>
      <c r="C189" s="114"/>
      <c r="D189" s="115">
        <v>52103.6</v>
      </c>
      <c r="E189" s="115">
        <f>5+1719.5+917.9</f>
        <v>2642.4</v>
      </c>
      <c r="F189" s="120">
        <f t="shared" si="3"/>
        <v>54746</v>
      </c>
    </row>
    <row r="190" spans="1:6" ht="18.75" x14ac:dyDescent="0.3">
      <c r="A190" s="220"/>
      <c r="B190" s="114" t="s">
        <v>301</v>
      </c>
      <c r="C190" s="114"/>
      <c r="D190" s="115">
        <v>195.3</v>
      </c>
      <c r="E190" s="115">
        <v>2.2999999999999998</v>
      </c>
      <c r="F190" s="120">
        <f t="shared" si="3"/>
        <v>197.60000000000002</v>
      </c>
    </row>
    <row r="191" spans="1:6" ht="18.75" x14ac:dyDescent="0.3">
      <c r="A191" s="220" t="s">
        <v>25</v>
      </c>
      <c r="B191" s="114" t="s">
        <v>307</v>
      </c>
      <c r="C191" s="114"/>
      <c r="D191" s="115">
        <v>20.399999999999999</v>
      </c>
      <c r="E191" s="115">
        <v>-6.4457000000000004</v>
      </c>
      <c r="F191" s="120">
        <f t="shared" si="3"/>
        <v>13.954299999999998</v>
      </c>
    </row>
    <row r="192" spans="1:6" ht="18.75" x14ac:dyDescent="0.3">
      <c r="A192" s="220"/>
      <c r="B192" s="114" t="s">
        <v>308</v>
      </c>
      <c r="C192" s="114"/>
      <c r="D192" s="115">
        <v>24.3</v>
      </c>
      <c r="E192" s="115">
        <v>6.4457000000000004</v>
      </c>
      <c r="F192" s="120">
        <f t="shared" si="3"/>
        <v>30.745699999999999</v>
      </c>
    </row>
    <row r="193" spans="1:8" ht="18.75" x14ac:dyDescent="0.3">
      <c r="A193" s="220"/>
      <c r="B193" s="114" t="s">
        <v>339</v>
      </c>
      <c r="C193" s="114"/>
      <c r="D193" s="115">
        <v>931</v>
      </c>
      <c r="E193" s="115">
        <v>0.79920999999999998</v>
      </c>
      <c r="F193" s="120">
        <f t="shared" si="3"/>
        <v>931.79921000000002</v>
      </c>
    </row>
    <row r="194" spans="1:8" ht="18.75" x14ac:dyDescent="0.3">
      <c r="A194" s="220"/>
      <c r="B194" s="114" t="s">
        <v>104</v>
      </c>
      <c r="C194" s="114"/>
      <c r="D194" s="115">
        <f>F119</f>
        <v>97480</v>
      </c>
      <c r="E194" s="115">
        <v>-0.79920999999999998</v>
      </c>
      <c r="F194" s="120">
        <f t="shared" si="3"/>
        <v>97479.200790000003</v>
      </c>
    </row>
    <row r="195" spans="1:8" ht="18.75" x14ac:dyDescent="0.3">
      <c r="A195" s="220"/>
      <c r="B195" s="114" t="s">
        <v>294</v>
      </c>
      <c r="C195" s="114"/>
      <c r="D195" s="115">
        <f>F108</f>
        <v>13403.3</v>
      </c>
      <c r="E195" s="115">
        <v>363.4</v>
      </c>
      <c r="F195" s="120">
        <f t="shared" si="3"/>
        <v>13766.699999999999</v>
      </c>
    </row>
    <row r="196" spans="1:8" ht="18.75" x14ac:dyDescent="0.3">
      <c r="A196" s="220"/>
      <c r="B196" s="114" t="s">
        <v>411</v>
      </c>
      <c r="C196" s="114"/>
      <c r="D196" s="115">
        <v>3.3</v>
      </c>
      <c r="E196" s="115">
        <v>-0.05</v>
      </c>
      <c r="F196" s="120">
        <f t="shared" ref="F196:F198" si="11">SUM(D196:E196)</f>
        <v>3.25</v>
      </c>
    </row>
    <row r="197" spans="1:8" ht="18.75" x14ac:dyDescent="0.3">
      <c r="A197" s="220"/>
      <c r="B197" s="114" t="s">
        <v>289</v>
      </c>
      <c r="C197" s="114"/>
      <c r="D197" s="115">
        <f>F115</f>
        <v>11136.7</v>
      </c>
      <c r="E197" s="115">
        <v>0.05</v>
      </c>
      <c r="F197" s="120">
        <f t="shared" si="11"/>
        <v>11136.75</v>
      </c>
    </row>
    <row r="198" spans="1:8" ht="18.75" x14ac:dyDescent="0.3">
      <c r="A198" s="220"/>
      <c r="B198" s="114" t="s">
        <v>412</v>
      </c>
      <c r="C198" s="114"/>
      <c r="D198" s="115">
        <v>25</v>
      </c>
      <c r="E198" s="115">
        <v>-7.4799999999999997E-3</v>
      </c>
      <c r="F198" s="120">
        <f t="shared" si="11"/>
        <v>24.992519999999999</v>
      </c>
      <c r="H198" s="79"/>
    </row>
    <row r="199" spans="1:8" ht="18.75" x14ac:dyDescent="0.3">
      <c r="A199" s="220"/>
      <c r="B199" s="114" t="s">
        <v>295</v>
      </c>
      <c r="C199" s="114"/>
      <c r="D199" s="115">
        <f>F120</f>
        <v>1292.6346800000001</v>
      </c>
      <c r="E199" s="115">
        <f>23.19123</f>
        <v>23.191230000000001</v>
      </c>
      <c r="F199" s="120">
        <f t="shared" si="3"/>
        <v>1315.82591</v>
      </c>
    </row>
    <row r="200" spans="1:8" ht="18.75" x14ac:dyDescent="0.3">
      <c r="A200" s="220"/>
      <c r="B200" s="114" t="s">
        <v>296</v>
      </c>
      <c r="C200" s="114"/>
      <c r="D200" s="115">
        <f>F121</f>
        <v>191.34050999999999</v>
      </c>
      <c r="E200" s="115">
        <f>-23.19123+0.00748</f>
        <v>-23.18375</v>
      </c>
      <c r="F200" s="120">
        <f t="shared" si="3"/>
        <v>168.15675999999999</v>
      </c>
      <c r="H200" s="79"/>
    </row>
    <row r="201" spans="1:8" ht="18.75" x14ac:dyDescent="0.3">
      <c r="A201" s="227" t="s">
        <v>26</v>
      </c>
      <c r="B201" s="114" t="s">
        <v>410</v>
      </c>
      <c r="C201" s="114"/>
      <c r="D201" s="115">
        <v>1868.6</v>
      </c>
      <c r="E201" s="115">
        <v>421.4</v>
      </c>
      <c r="F201" s="120">
        <f t="shared" si="3"/>
        <v>2290</v>
      </c>
      <c r="H201" s="79"/>
    </row>
    <row r="202" spans="1:8" ht="18.75" x14ac:dyDescent="0.3">
      <c r="A202" s="228"/>
      <c r="B202" s="114" t="s">
        <v>332</v>
      </c>
      <c r="C202" s="114"/>
      <c r="D202" s="115">
        <v>100226.6</v>
      </c>
      <c r="E202" s="115">
        <f>2939.7+1888.5</f>
        <v>4828.2</v>
      </c>
      <c r="F202" s="120">
        <f t="shared" si="3"/>
        <v>105054.8</v>
      </c>
      <c r="H202" s="79"/>
    </row>
    <row r="203" spans="1:8" ht="18.75" x14ac:dyDescent="0.3">
      <c r="A203" s="228"/>
      <c r="B203" s="114" t="s">
        <v>333</v>
      </c>
      <c r="C203" s="114"/>
      <c r="D203" s="115">
        <v>14287</v>
      </c>
      <c r="E203" s="115">
        <f>-1000.1-1888.5+192.8</f>
        <v>-2695.7999999999997</v>
      </c>
      <c r="F203" s="120">
        <f t="shared" ref="F203" si="12">SUM(D203:E203)</f>
        <v>11591.2</v>
      </c>
      <c r="H203" s="79"/>
    </row>
    <row r="204" spans="1:8" ht="18.75" x14ac:dyDescent="0.3">
      <c r="A204" s="228"/>
      <c r="B204" s="114" t="s">
        <v>279</v>
      </c>
      <c r="C204" s="114"/>
      <c r="D204" s="115">
        <f>F127</f>
        <v>222202.8</v>
      </c>
      <c r="E204" s="115">
        <f>534.8+3631.9+2715.2</f>
        <v>6881.9</v>
      </c>
      <c r="F204" s="120">
        <f t="shared" ref="F204:F209" si="13">SUM(D204:E204)</f>
        <v>229084.69999999998</v>
      </c>
      <c r="H204" s="79"/>
    </row>
    <row r="205" spans="1:8" ht="18.75" x14ac:dyDescent="0.3">
      <c r="A205" s="228"/>
      <c r="B205" s="114" t="s">
        <v>408</v>
      </c>
      <c r="C205" s="114"/>
      <c r="D205" s="115">
        <v>18987.7</v>
      </c>
      <c r="E205" s="115">
        <f>2199.7-354.3</f>
        <v>1845.3999999999999</v>
      </c>
      <c r="F205" s="120">
        <f t="shared" si="13"/>
        <v>20833.100000000002</v>
      </c>
      <c r="H205" s="79"/>
    </row>
    <row r="206" spans="1:8" ht="18.75" x14ac:dyDescent="0.3">
      <c r="A206" s="228"/>
      <c r="B206" s="114" t="s">
        <v>320</v>
      </c>
      <c r="C206" s="114"/>
      <c r="D206" s="115">
        <v>4839.3</v>
      </c>
      <c r="E206" s="115">
        <v>337</v>
      </c>
      <c r="F206" s="120">
        <f t="shared" si="13"/>
        <v>5176.3</v>
      </c>
      <c r="H206" s="79"/>
    </row>
    <row r="207" spans="1:8" ht="18.75" x14ac:dyDescent="0.3">
      <c r="A207" s="228"/>
      <c r="B207" s="114" t="s">
        <v>409</v>
      </c>
      <c r="C207" s="114"/>
      <c r="D207" s="115">
        <v>41076.699999999997</v>
      </c>
      <c r="E207" s="115">
        <v>2710</v>
      </c>
      <c r="F207" s="120">
        <f t="shared" si="13"/>
        <v>43786.7</v>
      </c>
      <c r="H207" s="79"/>
    </row>
    <row r="208" spans="1:8" ht="18.75" x14ac:dyDescent="0.3">
      <c r="A208" s="228"/>
      <c r="B208" s="114" t="s">
        <v>310</v>
      </c>
      <c r="C208" s="114"/>
      <c r="D208" s="115">
        <v>5700</v>
      </c>
      <c r="E208" s="115">
        <v>500</v>
      </c>
      <c r="F208" s="120">
        <f t="shared" si="13"/>
        <v>6200</v>
      </c>
      <c r="H208" s="79"/>
    </row>
    <row r="209" spans="1:8" ht="18.75" x14ac:dyDescent="0.3">
      <c r="A209" s="228"/>
      <c r="B209" s="114" t="s">
        <v>334</v>
      </c>
      <c r="C209" s="114"/>
      <c r="D209" s="115">
        <v>3500</v>
      </c>
      <c r="E209" s="115">
        <v>-1500</v>
      </c>
      <c r="F209" s="120">
        <f t="shared" si="13"/>
        <v>2000</v>
      </c>
    </row>
    <row r="210" spans="1:8" ht="18.75" x14ac:dyDescent="0.3">
      <c r="A210" s="228"/>
      <c r="B210" s="114" t="s">
        <v>335</v>
      </c>
      <c r="C210" s="114"/>
      <c r="D210" s="115">
        <v>1000</v>
      </c>
      <c r="E210" s="115">
        <f>-218.6-200</f>
        <v>-418.6</v>
      </c>
      <c r="F210" s="120">
        <f t="shared" si="3"/>
        <v>581.4</v>
      </c>
    </row>
    <row r="211" spans="1:8" ht="18.75" x14ac:dyDescent="0.3">
      <c r="A211" s="228"/>
      <c r="B211" s="114" t="s">
        <v>311</v>
      </c>
      <c r="C211" s="114"/>
      <c r="D211" s="115">
        <v>2500</v>
      </c>
      <c r="E211" s="115">
        <v>-2500</v>
      </c>
      <c r="F211" s="120">
        <f t="shared" si="3"/>
        <v>0</v>
      </c>
    </row>
    <row r="212" spans="1:8" ht="18.75" x14ac:dyDescent="0.3">
      <c r="A212" s="236"/>
      <c r="B212" s="114" t="s">
        <v>309</v>
      </c>
      <c r="C212" s="114"/>
      <c r="D212" s="115">
        <v>451.2</v>
      </c>
      <c r="E212" s="115">
        <v>-221</v>
      </c>
      <c r="F212" s="120">
        <f t="shared" si="3"/>
        <v>230.2</v>
      </c>
    </row>
    <row r="213" spans="1:8" ht="19.5" x14ac:dyDescent="0.35">
      <c r="A213" s="97" t="s">
        <v>6</v>
      </c>
      <c r="B213" s="238"/>
      <c r="C213" s="238"/>
      <c r="D213" s="98" t="s">
        <v>20</v>
      </c>
      <c r="E213" s="99">
        <f>SUM(E152:E212)</f>
        <v>16708.900000000001</v>
      </c>
      <c r="F213" s="98"/>
    </row>
    <row r="214" spans="1:8" ht="24.75" customHeight="1" x14ac:dyDescent="0.35">
      <c r="A214" s="80"/>
      <c r="B214" s="81"/>
      <c r="C214" s="81"/>
      <c r="D214" s="82"/>
      <c r="E214" s="83"/>
      <c r="F214" s="83"/>
      <c r="G214" s="84"/>
    </row>
    <row r="215" spans="1:8" ht="55.5" customHeight="1" x14ac:dyDescent="0.3">
      <c r="A215" s="226" t="s">
        <v>415</v>
      </c>
      <c r="B215" s="226"/>
      <c r="C215" s="226"/>
      <c r="D215" s="226"/>
      <c r="E215" s="226"/>
      <c r="F215" s="226"/>
      <c r="G215" s="84"/>
    </row>
    <row r="216" spans="1:8" ht="24.75" customHeight="1" x14ac:dyDescent="0.35">
      <c r="A216" s="80"/>
      <c r="B216" s="81"/>
      <c r="C216" s="81"/>
      <c r="D216" s="82"/>
      <c r="E216" s="83"/>
      <c r="F216" s="83"/>
      <c r="G216" s="84"/>
    </row>
    <row r="217" spans="1:8" s="58" customFormat="1" ht="21" customHeight="1" x14ac:dyDescent="0.3">
      <c r="A217" s="226" t="s">
        <v>269</v>
      </c>
      <c r="B217" s="226"/>
      <c r="C217" s="226"/>
      <c r="D217" s="226"/>
      <c r="E217" s="226"/>
      <c r="F217" s="226"/>
      <c r="G217" s="79"/>
      <c r="H217" s="87"/>
    </row>
    <row r="218" spans="1:8" ht="18" customHeight="1" x14ac:dyDescent="0.25">
      <c r="A218" s="56"/>
      <c r="B218" s="56"/>
      <c r="C218" s="91"/>
      <c r="D218" s="91"/>
      <c r="E218" s="91"/>
      <c r="F218" s="57" t="s">
        <v>248</v>
      </c>
    </row>
    <row r="219" spans="1:8" ht="18.75" customHeight="1" x14ac:dyDescent="0.3">
      <c r="A219" s="230" t="s">
        <v>10</v>
      </c>
      <c r="B219" s="232"/>
      <c r="C219" s="230" t="s">
        <v>11</v>
      </c>
      <c r="D219" s="231"/>
      <c r="E219" s="231"/>
      <c r="F219" s="232"/>
      <c r="G219" s="89"/>
      <c r="H219" s="88"/>
    </row>
    <row r="220" spans="1:8" ht="18.75" customHeight="1" x14ac:dyDescent="0.25">
      <c r="A220" s="92" t="s">
        <v>344</v>
      </c>
      <c r="B220" s="93">
        <f>H6</f>
        <v>79200</v>
      </c>
      <c r="C220" s="245" t="s">
        <v>262</v>
      </c>
      <c r="D220" s="245"/>
      <c r="E220" s="245"/>
      <c r="F220" s="242">
        <f>E130</f>
        <v>61221.47507</v>
      </c>
    </row>
    <row r="221" spans="1:8" ht="19.5" customHeight="1" x14ac:dyDescent="0.25">
      <c r="A221" s="92" t="s">
        <v>12</v>
      </c>
      <c r="B221" s="93">
        <f>H7</f>
        <v>0</v>
      </c>
      <c r="C221" s="245"/>
      <c r="D221" s="245"/>
      <c r="E221" s="245"/>
      <c r="F221" s="243"/>
      <c r="G221" s="106">
        <f>F220-B221-B222-B223-B220</f>
        <v>-2.4929999999585561E-2</v>
      </c>
    </row>
    <row r="222" spans="1:8" ht="20.25" customHeight="1" x14ac:dyDescent="0.3">
      <c r="A222" s="156" t="s">
        <v>13</v>
      </c>
      <c r="B222" s="93">
        <f>H8</f>
        <v>-17978.5</v>
      </c>
      <c r="C222" s="245"/>
      <c r="D222" s="245"/>
      <c r="E222" s="245"/>
      <c r="F222" s="243"/>
    </row>
    <row r="223" spans="1:8" ht="18" customHeight="1" x14ac:dyDescent="0.25">
      <c r="A223" s="122" t="s">
        <v>28</v>
      </c>
      <c r="B223" s="93">
        <f>H9</f>
        <v>0</v>
      </c>
      <c r="C223" s="245"/>
      <c r="D223" s="245"/>
      <c r="E223" s="245"/>
      <c r="F223" s="244"/>
      <c r="H223" s="79"/>
    </row>
    <row r="224" spans="1:8" ht="22.5" customHeight="1" x14ac:dyDescent="0.25">
      <c r="A224" s="157" t="s">
        <v>252</v>
      </c>
      <c r="B224" s="143">
        <f>H58</f>
        <v>15926.5</v>
      </c>
      <c r="C224" s="221" t="s">
        <v>319</v>
      </c>
      <c r="D224" s="221"/>
      <c r="E224" s="222"/>
      <c r="F224" s="93">
        <f>886.7+5996.3</f>
        <v>6883</v>
      </c>
    </row>
    <row r="225" spans="1:7" ht="24" customHeight="1" x14ac:dyDescent="0.25">
      <c r="A225" s="223" t="s">
        <v>84</v>
      </c>
      <c r="B225" s="247">
        <f>H61</f>
        <v>5161.3999999999996</v>
      </c>
      <c r="C225" s="221" t="s">
        <v>26</v>
      </c>
      <c r="D225" s="221"/>
      <c r="E225" s="222"/>
      <c r="F225" s="93">
        <f>6600+1034.8+2553.7</f>
        <v>10188.5</v>
      </c>
    </row>
    <row r="226" spans="1:7" ht="18.75" hidden="1" customHeight="1" x14ac:dyDescent="0.25">
      <c r="A226" s="224"/>
      <c r="B226" s="247"/>
      <c r="C226" s="221"/>
      <c r="D226" s="221"/>
      <c r="E226" s="222"/>
      <c r="F226" s="93"/>
      <c r="G226" s="84">
        <f>SUM(F225:F228)</f>
        <v>8908</v>
      </c>
    </row>
    <row r="227" spans="1:7" ht="18.75" customHeight="1" x14ac:dyDescent="0.25">
      <c r="A227" s="225"/>
      <c r="B227" s="113"/>
      <c r="C227" s="137" t="s">
        <v>299</v>
      </c>
      <c r="D227" s="137"/>
      <c r="E227" s="138"/>
      <c r="F227" s="93">
        <f>1719.5+917.9</f>
        <v>2637.4</v>
      </c>
      <c r="G227" s="84"/>
    </row>
    <row r="228" spans="1:7" ht="24" customHeight="1" x14ac:dyDescent="0.25">
      <c r="A228" s="144" t="s">
        <v>276</v>
      </c>
      <c r="B228" s="113">
        <v>-5296.9</v>
      </c>
      <c r="C228" s="221" t="s">
        <v>34</v>
      </c>
      <c r="D228" s="221"/>
      <c r="E228" s="222"/>
      <c r="F228" s="93">
        <f>-3000-917.9</f>
        <v>-3917.9</v>
      </c>
    </row>
    <row r="229" spans="1:7" ht="17.25" customHeight="1" x14ac:dyDescent="0.35">
      <c r="A229" s="94" t="s">
        <v>9</v>
      </c>
      <c r="B229" s="95">
        <f>SUM(B220:B228)</f>
        <v>77012.5</v>
      </c>
      <c r="C229" s="241" t="s">
        <v>9</v>
      </c>
      <c r="D229" s="241"/>
      <c r="E229" s="241"/>
      <c r="F229" s="96">
        <f>SUM(F220:F228)</f>
        <v>77012.47507</v>
      </c>
      <c r="G229" s="89">
        <f>F229-B229</f>
        <v>-2.4929999999585561E-2</v>
      </c>
    </row>
    <row r="230" spans="1:7" ht="21" customHeight="1" x14ac:dyDescent="0.3">
      <c r="A230" s="136"/>
      <c r="B230" s="136"/>
      <c r="C230" s="136"/>
      <c r="D230" s="136"/>
      <c r="E230" s="136"/>
      <c r="F230" s="136"/>
    </row>
    <row r="231" spans="1:7" ht="19.5" customHeight="1" x14ac:dyDescent="0.3">
      <c r="A231" s="136"/>
      <c r="B231" s="85"/>
      <c r="C231" s="136"/>
      <c r="D231" s="136"/>
      <c r="E231" s="136"/>
      <c r="F231" s="86"/>
    </row>
    <row r="232" spans="1:7" ht="18.75" customHeight="1" x14ac:dyDescent="0.3">
      <c r="A232" s="246" t="s">
        <v>66</v>
      </c>
      <c r="B232" s="246"/>
      <c r="C232" s="246"/>
      <c r="D232" s="246"/>
      <c r="E232" s="237" t="s">
        <v>67</v>
      </c>
      <c r="F232" s="237"/>
    </row>
    <row r="233" spans="1:7" ht="20.25" customHeight="1" x14ac:dyDescent="0.35">
      <c r="A233" s="80"/>
      <c r="B233" s="81"/>
      <c r="C233" s="81"/>
      <c r="D233" s="82"/>
      <c r="E233" s="83"/>
      <c r="F233" s="82"/>
    </row>
    <row r="234" spans="1:7" ht="16.5" customHeight="1" x14ac:dyDescent="0.25">
      <c r="B234" s="84"/>
      <c r="E234" s="79" t="s">
        <v>245</v>
      </c>
    </row>
    <row r="235" spans="1:7" ht="19.5" customHeight="1" x14ac:dyDescent="0.25">
      <c r="F235" s="87"/>
    </row>
    <row r="236" spans="1:7" ht="24" customHeight="1" x14ac:dyDescent="0.25"/>
  </sheetData>
  <mergeCells count="130">
    <mergeCell ref="B28:C28"/>
    <mergeCell ref="B29:C29"/>
    <mergeCell ref="B30:C30"/>
    <mergeCell ref="B21:C21"/>
    <mergeCell ref="B22:C22"/>
    <mergeCell ref="B23:C23"/>
    <mergeCell ref="B19:C19"/>
    <mergeCell ref="B55:C55"/>
    <mergeCell ref="A70:F70"/>
    <mergeCell ref="B52:C52"/>
    <mergeCell ref="B53:C53"/>
    <mergeCell ref="B54:C54"/>
    <mergeCell ref="B24:C24"/>
    <mergeCell ref="B25:C25"/>
    <mergeCell ref="B26:C26"/>
    <mergeCell ref="B27:C27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A136:F136"/>
    <mergeCell ref="A75:F75"/>
    <mergeCell ref="A71:F71"/>
    <mergeCell ref="B66:C66"/>
    <mergeCell ref="B67:C67"/>
    <mergeCell ref="B31:C31"/>
    <mergeCell ref="B32:C32"/>
    <mergeCell ref="B33:C33"/>
    <mergeCell ref="B34:C34"/>
    <mergeCell ref="B35:C35"/>
    <mergeCell ref="B47:C47"/>
    <mergeCell ref="B48:C48"/>
    <mergeCell ref="B49:C49"/>
    <mergeCell ref="B50:C50"/>
    <mergeCell ref="B57:C57"/>
    <mergeCell ref="A134:F134"/>
    <mergeCell ref="B56:C56"/>
    <mergeCell ref="A77:F77"/>
    <mergeCell ref="A137:F137"/>
    <mergeCell ref="A133:F133"/>
    <mergeCell ref="A154:A155"/>
    <mergeCell ref="A201:A212"/>
    <mergeCell ref="B51:C51"/>
    <mergeCell ref="A76:F76"/>
    <mergeCell ref="A81:F81"/>
    <mergeCell ref="A74:F74"/>
    <mergeCell ref="A80:F80"/>
    <mergeCell ref="A79:F79"/>
    <mergeCell ref="A138:F138"/>
    <mergeCell ref="A132:F132"/>
    <mergeCell ref="A84:F84"/>
    <mergeCell ref="A82:F82"/>
    <mergeCell ref="A83:F83"/>
    <mergeCell ref="B87:C87"/>
    <mergeCell ref="A89:A100"/>
    <mergeCell ref="A101:A126"/>
    <mergeCell ref="A131:F131"/>
    <mergeCell ref="B130:C130"/>
    <mergeCell ref="A127:A129"/>
    <mergeCell ref="A85:F85"/>
    <mergeCell ref="A86:F86"/>
    <mergeCell ref="A73:F73"/>
    <mergeCell ref="A1:F1"/>
    <mergeCell ref="A2:F2"/>
    <mergeCell ref="A3:F3"/>
    <mergeCell ref="A5:F5"/>
    <mergeCell ref="A7:D7"/>
    <mergeCell ref="A8:C8"/>
    <mergeCell ref="A9:E9"/>
    <mergeCell ref="A63:F63"/>
    <mergeCell ref="B65:C65"/>
    <mergeCell ref="A61:F61"/>
    <mergeCell ref="A62:F62"/>
    <mergeCell ref="A6:D6"/>
    <mergeCell ref="A10:F10"/>
    <mergeCell ref="B11:C11"/>
    <mergeCell ref="B12:C12"/>
    <mergeCell ref="B13:C13"/>
    <mergeCell ref="B58:C58"/>
    <mergeCell ref="B64:C64"/>
    <mergeCell ref="B14:C14"/>
    <mergeCell ref="B15:C15"/>
    <mergeCell ref="B16:C16"/>
    <mergeCell ref="B17:C17"/>
    <mergeCell ref="B18:C18"/>
    <mergeCell ref="B20:C20"/>
    <mergeCell ref="E232:F232"/>
    <mergeCell ref="B213:C213"/>
    <mergeCell ref="B151:C151"/>
    <mergeCell ref="A217:F217"/>
    <mergeCell ref="A219:B219"/>
    <mergeCell ref="C228:E228"/>
    <mergeCell ref="C229:E229"/>
    <mergeCell ref="F220:F223"/>
    <mergeCell ref="C225:E225"/>
    <mergeCell ref="C220:E223"/>
    <mergeCell ref="A232:D232"/>
    <mergeCell ref="B225:B226"/>
    <mergeCell ref="B152:C152"/>
    <mergeCell ref="A150:F150"/>
    <mergeCell ref="A135:F135"/>
    <mergeCell ref="A139:F139"/>
    <mergeCell ref="A140:F140"/>
    <mergeCell ref="A147:F147"/>
    <mergeCell ref="A78:F78"/>
    <mergeCell ref="A186:A190"/>
    <mergeCell ref="C224:E224"/>
    <mergeCell ref="A225:A227"/>
    <mergeCell ref="A149:F149"/>
    <mergeCell ref="C226:E226"/>
    <mergeCell ref="A215:F215"/>
    <mergeCell ref="A141:F141"/>
    <mergeCell ref="A142:F142"/>
    <mergeCell ref="A176:A185"/>
    <mergeCell ref="A152:A153"/>
    <mergeCell ref="A143:F143"/>
    <mergeCell ref="A144:F144"/>
    <mergeCell ref="C219:F219"/>
    <mergeCell ref="A191:A200"/>
    <mergeCell ref="A146:F146"/>
    <mergeCell ref="A148:F148"/>
    <mergeCell ref="B153:C153"/>
    <mergeCell ref="A157:A175"/>
  </mergeCells>
  <pageMargins left="0.70866141732283472" right="0.11811023622047245" top="0.55118110236220474" bottom="0.15748031496062992" header="0.31496062992125984" footer="0.31496062992125984"/>
  <pageSetup paperSize="9" scale="72" fitToHeight="8" orientation="portrait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workbookViewId="0">
      <selection activeCell="A11" sqref="A11"/>
    </sheetView>
  </sheetViews>
  <sheetFormatPr defaultRowHeight="12.75" x14ac:dyDescent="0.2"/>
  <cols>
    <col min="1" max="1" width="69.85546875" customWidth="1"/>
  </cols>
  <sheetData>
    <row r="1" spans="1:8" ht="18.75" x14ac:dyDescent="0.3">
      <c r="A1" s="248" t="s">
        <v>0</v>
      </c>
      <c r="B1" s="248"/>
      <c r="C1" s="248"/>
      <c r="D1" s="248"/>
      <c r="E1" s="248"/>
      <c r="F1" s="248"/>
    </row>
    <row r="2" spans="1:8" ht="81.75" customHeight="1" x14ac:dyDescent="0.2">
      <c r="A2" s="249" t="s">
        <v>247</v>
      </c>
      <c r="B2" s="249"/>
      <c r="C2" s="249"/>
      <c r="D2" s="249"/>
      <c r="E2" s="249"/>
      <c r="F2" s="249"/>
    </row>
    <row r="3" spans="1:8" ht="21.75" customHeight="1" x14ac:dyDescent="0.3">
      <c r="A3" s="270" t="s">
        <v>265</v>
      </c>
      <c r="B3" s="270"/>
      <c r="C3" s="270"/>
      <c r="D3" s="270"/>
      <c r="E3" s="270"/>
      <c r="F3" s="270"/>
    </row>
    <row r="4" spans="1:8" ht="18.75" x14ac:dyDescent="0.2">
      <c r="A4" s="250" t="s">
        <v>263</v>
      </c>
      <c r="B4" s="250"/>
      <c r="C4" s="250"/>
      <c r="D4" s="250"/>
      <c r="E4" s="250"/>
      <c r="F4" s="250"/>
    </row>
    <row r="5" spans="1:8" s="79" customFormat="1" ht="49.5" customHeight="1" x14ac:dyDescent="0.25">
      <c r="A5" s="271" t="s">
        <v>266</v>
      </c>
      <c r="B5" s="271"/>
      <c r="C5" s="271"/>
      <c r="D5" s="271"/>
      <c r="E5" s="271"/>
      <c r="F5" s="271"/>
    </row>
    <row r="6" spans="1:8" s="79" customFormat="1" ht="22.9" customHeight="1" x14ac:dyDescent="0.3">
      <c r="A6" s="269" t="s">
        <v>267</v>
      </c>
      <c r="B6" s="269"/>
      <c r="C6" s="269"/>
      <c r="D6" s="269"/>
      <c r="E6" s="110"/>
      <c r="F6" s="110"/>
    </row>
    <row r="7" spans="1:8" s="79" customFormat="1" ht="17.25" customHeight="1" x14ac:dyDescent="0.3">
      <c r="A7" s="267" t="s">
        <v>268</v>
      </c>
      <c r="B7" s="267"/>
      <c r="C7" s="267"/>
      <c r="D7" s="267"/>
      <c r="E7" s="267"/>
      <c r="F7" s="267"/>
      <c r="H7" s="87"/>
    </row>
    <row r="8" spans="1:8" s="79" customFormat="1" ht="22.5" customHeight="1" x14ac:dyDescent="0.3">
      <c r="A8" s="262" t="s">
        <v>270</v>
      </c>
      <c r="B8" s="262"/>
      <c r="C8" s="262"/>
      <c r="D8" s="262"/>
      <c r="E8" s="262"/>
      <c r="F8" s="262"/>
      <c r="H8" s="87"/>
    </row>
    <row r="9" spans="1:8" s="79" customFormat="1" ht="18" customHeight="1" x14ac:dyDescent="0.3">
      <c r="A9" s="229" t="s">
        <v>244</v>
      </c>
      <c r="B9" s="229"/>
      <c r="C9" s="229"/>
      <c r="D9" s="229"/>
      <c r="E9" s="229"/>
      <c r="F9" s="229"/>
      <c r="H9" s="87"/>
    </row>
    <row r="10" spans="1:8" ht="22.5" customHeight="1" x14ac:dyDescent="0.2">
      <c r="A10" s="111" t="s">
        <v>271</v>
      </c>
    </row>
    <row r="11" spans="1:8" s="112" customFormat="1" ht="18" customHeight="1" x14ac:dyDescent="0.3">
      <c r="A11" s="112" t="s">
        <v>272</v>
      </c>
    </row>
    <row r="12" spans="1:8" s="79" customFormat="1" ht="24.75" customHeight="1" x14ac:dyDescent="0.3">
      <c r="A12" s="109" t="s">
        <v>31</v>
      </c>
      <c r="B12" s="108"/>
      <c r="C12" s="108"/>
      <c r="D12" s="108"/>
      <c r="E12" s="108"/>
      <c r="F12" s="108"/>
      <c r="H12" s="87"/>
    </row>
    <row r="13" spans="1:8" s="79" customFormat="1" ht="18.75" customHeight="1" x14ac:dyDescent="0.3">
      <c r="A13" s="218" t="s">
        <v>273</v>
      </c>
      <c r="B13" s="218"/>
      <c r="C13" s="218"/>
      <c r="D13" s="218"/>
      <c r="E13" s="218"/>
      <c r="F13" s="218"/>
      <c r="H13" s="87"/>
    </row>
    <row r="14" spans="1:8" s="112" customFormat="1" ht="40.5" customHeight="1" x14ac:dyDescent="0.3">
      <c r="A14" s="268" t="s">
        <v>274</v>
      </c>
      <c r="B14" s="268"/>
      <c r="C14" s="268"/>
      <c r="D14" s="268"/>
      <c r="E14" s="268"/>
      <c r="F14" s="268"/>
    </row>
    <row r="15" spans="1:8" s="104" customFormat="1" ht="108.75" customHeight="1" x14ac:dyDescent="0.3">
      <c r="A15" s="229" t="s">
        <v>275</v>
      </c>
      <c r="B15" s="229"/>
      <c r="C15" s="229"/>
      <c r="D15" s="229"/>
      <c r="E15" s="229"/>
      <c r="F15" s="229"/>
      <c r="G15" s="107"/>
      <c r="H15" s="105"/>
    </row>
    <row r="17" spans="1:8" s="79" customFormat="1" ht="18.75" customHeight="1" x14ac:dyDescent="0.3">
      <c r="A17" s="246" t="s">
        <v>66</v>
      </c>
      <c r="B17" s="246"/>
      <c r="C17" s="246"/>
      <c r="D17" s="246"/>
      <c r="E17" s="237" t="s">
        <v>67</v>
      </c>
      <c r="F17" s="237"/>
      <c r="H17" s="88"/>
    </row>
  </sheetData>
  <mergeCells count="14">
    <mergeCell ref="A6:D6"/>
    <mergeCell ref="A1:F1"/>
    <mergeCell ref="A2:F2"/>
    <mergeCell ref="A3:F3"/>
    <mergeCell ref="A4:F4"/>
    <mergeCell ref="A5:F5"/>
    <mergeCell ref="A17:D17"/>
    <mergeCell ref="E17:F17"/>
    <mergeCell ref="A7:F7"/>
    <mergeCell ref="A8:F8"/>
    <mergeCell ref="A9:F9"/>
    <mergeCell ref="A13:F13"/>
    <mergeCell ref="A15:F15"/>
    <mergeCell ref="A14:F14"/>
  </mergeCells>
  <pageMargins left="0.70866141732283472" right="0.70866141732283472" top="0.74803149606299213" bottom="0.74803149606299213" header="0.31496062992125984" footer="0.31496062992125984"/>
  <pageSetup paperSize="9" scale="7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август</vt:lpstr>
      <vt:lpstr>декабрь</vt:lpstr>
      <vt:lpstr>Лист1</vt:lpstr>
      <vt:lpstr>август!Область_печати</vt:lpstr>
      <vt:lpstr>декабрь!Область_печати</vt:lpstr>
      <vt:lpstr>Лист1!Область_печати</vt:lpstr>
    </vt:vector>
  </TitlesOfParts>
  <Company>Dnsoft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</dc:creator>
  <cp:lastModifiedBy>Elena Kataeva</cp:lastModifiedBy>
  <cp:lastPrinted>2019-12-17T09:02:43Z</cp:lastPrinted>
  <dcterms:created xsi:type="dcterms:W3CDTF">2009-01-26T06:44:36Z</dcterms:created>
  <dcterms:modified xsi:type="dcterms:W3CDTF">2019-12-18T01:54:20Z</dcterms:modified>
</cp:coreProperties>
</file>