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20г\Проект б-та для СНД, КСП на 2020-2022г. (к 1 чтению)\"/>
    </mc:Choice>
  </mc:AlternateContent>
  <bookViews>
    <workbookView xWindow="3255" yWindow="11790" windowWidth="15480" windowHeight="1170"/>
  </bookViews>
  <sheets>
    <sheet name=" первое чтение вед стр-ра" sheetId="23" r:id="rId1"/>
    <sheet name="первое чтение программы" sheetId="25" r:id="rId2"/>
    <sheet name="первое чтение по разд" sheetId="26" r:id="rId3"/>
  </sheets>
  <externalReferences>
    <externalReference r:id="rId4"/>
  </externalReferences>
  <definedNames>
    <definedName name="_xlnm._FilterDatabase" localSheetId="0" hidden="1">' первое чтение вед стр-ра'!$A$9:$X$513</definedName>
    <definedName name="_xlnm._FilterDatabase" localSheetId="2" hidden="1">'первое чтение по разд'!$A$9:$P$458</definedName>
    <definedName name="_xlnm._FilterDatabase" localSheetId="1" hidden="1">'первое чтение программы'!$A$8:$P$432</definedName>
    <definedName name="_xlnm.Print_Titles" localSheetId="0">' первое чтение вед стр-ра'!$9:$9</definedName>
    <definedName name="_xlnm.Print_Titles" localSheetId="2">'первое чтение по разд'!$9:$9</definedName>
    <definedName name="_xlnm.Print_Titles" localSheetId="1">'первое чтение программы'!$8:$8</definedName>
    <definedName name="_xlnm.Print_Area" localSheetId="0">' первое чтение вед стр-ра'!$A$1:$I$518</definedName>
    <definedName name="_xlnm.Print_Area" localSheetId="2">'первое чтение по разд'!$A$1:$H$461</definedName>
    <definedName name="_xlnm.Print_Area" localSheetId="1">'первое чтение программы'!$A$1:$I$436</definedName>
  </definedNames>
  <calcPr calcId="15251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219" i="23" l="1"/>
  <c r="G216" i="23"/>
  <c r="G24" i="23" l="1"/>
  <c r="G465" i="23" l="1"/>
  <c r="H175" i="25" l="1"/>
  <c r="I175" i="25"/>
  <c r="G175" i="25"/>
  <c r="H173" i="25"/>
  <c r="I173" i="25"/>
  <c r="G173" i="25"/>
  <c r="H98" i="25" l="1"/>
  <c r="H97" i="25" s="1"/>
  <c r="I98" i="25"/>
  <c r="I97" i="25" s="1"/>
  <c r="G98" i="25"/>
  <c r="G97" i="25" s="1"/>
  <c r="I253" i="25"/>
  <c r="I252" i="25" s="1"/>
  <c r="H253" i="25"/>
  <c r="H252" i="25" s="1"/>
  <c r="G253" i="25"/>
  <c r="G252" i="25" s="1"/>
  <c r="I112" i="25"/>
  <c r="H112" i="25"/>
  <c r="I109" i="25"/>
  <c r="I108" i="25" s="1"/>
  <c r="H109" i="25"/>
  <c r="H108" i="25" s="1"/>
  <c r="G112" i="25"/>
  <c r="G109" i="25"/>
  <c r="G108" i="25" s="1"/>
  <c r="I73" i="25"/>
  <c r="H73" i="25"/>
  <c r="G73" i="25"/>
  <c r="I58" i="25"/>
  <c r="H58" i="25"/>
  <c r="G58" i="25"/>
  <c r="G80" i="26"/>
  <c r="H80" i="26"/>
  <c r="F80" i="26"/>
  <c r="G336" i="26"/>
  <c r="H336" i="26"/>
  <c r="F336" i="26"/>
  <c r="F399" i="26"/>
  <c r="I495" i="23" l="1"/>
  <c r="H495" i="23"/>
  <c r="G495" i="23"/>
  <c r="I429" i="23"/>
  <c r="H429" i="23"/>
  <c r="I426" i="23"/>
  <c r="H426" i="23"/>
  <c r="I422" i="23"/>
  <c r="H422" i="23"/>
  <c r="I412" i="23"/>
  <c r="H412" i="23"/>
  <c r="I410" i="23"/>
  <c r="H410" i="23"/>
  <c r="I408" i="23"/>
  <c r="H408" i="23"/>
  <c r="I406" i="23"/>
  <c r="H406" i="23"/>
  <c r="I404" i="23"/>
  <c r="H404" i="23"/>
  <c r="G429" i="23"/>
  <c r="G426" i="23"/>
  <c r="G422" i="23"/>
  <c r="G412" i="23"/>
  <c r="G410" i="23"/>
  <c r="G408" i="23"/>
  <c r="G406" i="23"/>
  <c r="G404" i="23"/>
  <c r="I371" i="23"/>
  <c r="H371" i="23"/>
  <c r="G371" i="23"/>
  <c r="I255" i="23"/>
  <c r="H255" i="23"/>
  <c r="G255" i="23"/>
  <c r="I154" i="23"/>
  <c r="H154" i="23"/>
  <c r="G154" i="23"/>
  <c r="I83" i="23"/>
  <c r="H83" i="23"/>
  <c r="I81" i="23"/>
  <c r="H81" i="23"/>
  <c r="I69" i="23"/>
  <c r="H69" i="23"/>
  <c r="I65" i="23"/>
  <c r="H65" i="23"/>
  <c r="G83" i="23"/>
  <c r="G81" i="23"/>
  <c r="G69" i="23"/>
  <c r="G65" i="23"/>
  <c r="H78" i="23" l="1"/>
  <c r="H77" i="23" s="1"/>
  <c r="I78" i="23"/>
  <c r="I77" i="23" s="1"/>
  <c r="G520" i="23"/>
  <c r="I157" i="23" l="1"/>
  <c r="I156" i="23" s="1"/>
  <c r="H157" i="23"/>
  <c r="H156" i="23" s="1"/>
  <c r="G157" i="23"/>
  <c r="I520" i="23"/>
  <c r="H520" i="23"/>
  <c r="G158" i="23"/>
  <c r="G150" i="23"/>
  <c r="G156" i="23" l="1"/>
  <c r="H135" i="26"/>
  <c r="G135" i="26"/>
  <c r="F135" i="26"/>
  <c r="H133" i="26"/>
  <c r="G133" i="26"/>
  <c r="F133" i="26"/>
  <c r="H131" i="26"/>
  <c r="G131" i="26"/>
  <c r="F131" i="26"/>
  <c r="H129" i="26"/>
  <c r="G129" i="26"/>
  <c r="F129" i="26"/>
  <c r="H127" i="26"/>
  <c r="G127" i="26"/>
  <c r="F127" i="26"/>
  <c r="H125" i="26"/>
  <c r="G125" i="26"/>
  <c r="F125" i="26"/>
  <c r="H413" i="25"/>
  <c r="H412" i="25" s="1"/>
  <c r="I413" i="25"/>
  <c r="I412" i="25" s="1"/>
  <c r="G413" i="25"/>
  <c r="G412" i="25" s="1"/>
  <c r="H411" i="25"/>
  <c r="H410" i="25" s="1"/>
  <c r="I411" i="25"/>
  <c r="I410" i="25" s="1"/>
  <c r="G411" i="25"/>
  <c r="G410" i="25" s="1"/>
  <c r="H409" i="25"/>
  <c r="H408" i="25" s="1"/>
  <c r="I409" i="25"/>
  <c r="I408" i="25" s="1"/>
  <c r="G409" i="25"/>
  <c r="G408" i="25" s="1"/>
  <c r="H407" i="25"/>
  <c r="H406" i="25" s="1"/>
  <c r="I407" i="25"/>
  <c r="G407" i="25"/>
  <c r="G406" i="25" s="1"/>
  <c r="H405" i="25"/>
  <c r="H404" i="25" s="1"/>
  <c r="I405" i="25"/>
  <c r="I404" i="25" s="1"/>
  <c r="G405" i="25"/>
  <c r="G404" i="25" s="1"/>
  <c r="H403" i="25"/>
  <c r="H402" i="25" s="1"/>
  <c r="I403" i="25"/>
  <c r="I402" i="25" s="1"/>
  <c r="G403" i="25"/>
  <c r="G402" i="25" s="1"/>
  <c r="I406" i="25"/>
  <c r="G416" i="25"/>
  <c r="H416" i="25"/>
  <c r="I416" i="25"/>
  <c r="G417" i="25"/>
  <c r="H417" i="25"/>
  <c r="I417" i="25"/>
  <c r="G419" i="25"/>
  <c r="G418" i="25" s="1"/>
  <c r="H419" i="25"/>
  <c r="H418" i="25" s="1"/>
  <c r="I419" i="25"/>
  <c r="I418" i="25" s="1"/>
  <c r="G424" i="25"/>
  <c r="H424" i="25"/>
  <c r="I424" i="25"/>
  <c r="G425" i="25"/>
  <c r="H425" i="25"/>
  <c r="I425" i="25"/>
  <c r="J323" i="23"/>
  <c r="K323" i="23"/>
  <c r="L323" i="23"/>
  <c r="M323" i="23"/>
  <c r="N323" i="23"/>
  <c r="O323" i="23"/>
  <c r="P323" i="23"/>
  <c r="Q323" i="23"/>
  <c r="I336" i="23"/>
  <c r="H336" i="23"/>
  <c r="G336" i="23"/>
  <c r="I334" i="23"/>
  <c r="H334" i="23"/>
  <c r="G334" i="23"/>
  <c r="I332" i="23"/>
  <c r="H332" i="23"/>
  <c r="G332" i="23"/>
  <c r="I330" i="23"/>
  <c r="H330" i="23"/>
  <c r="G330" i="23"/>
  <c r="I328" i="23"/>
  <c r="H328" i="23"/>
  <c r="G328" i="23"/>
  <c r="H326" i="23"/>
  <c r="I326" i="23"/>
  <c r="G326" i="23"/>
  <c r="H325" i="23" l="1"/>
  <c r="H324" i="23" s="1"/>
  <c r="I415" i="25"/>
  <c r="I325" i="23"/>
  <c r="I324" i="23" s="1"/>
  <c r="G325" i="23"/>
  <c r="G324" i="23" s="1"/>
  <c r="G401" i="25"/>
  <c r="H401" i="25"/>
  <c r="I401" i="25"/>
  <c r="H415" i="25"/>
  <c r="G415" i="25"/>
  <c r="I24" i="23"/>
  <c r="H24" i="23"/>
  <c r="I29" i="23"/>
  <c r="H29" i="23"/>
  <c r="G29" i="23"/>
  <c r="I14" i="23"/>
  <c r="H14" i="23"/>
  <c r="H58" i="26" l="1"/>
  <c r="G58" i="26"/>
  <c r="F58" i="26"/>
  <c r="H113" i="25"/>
  <c r="I113" i="25"/>
  <c r="G113" i="25"/>
  <c r="I46" i="23"/>
  <c r="H46" i="23"/>
  <c r="G46" i="23"/>
  <c r="G225" i="26" l="1"/>
  <c r="G224" i="26" s="1"/>
  <c r="H225" i="26"/>
  <c r="H224" i="26" s="1"/>
  <c r="F225" i="26"/>
  <c r="F224" i="26" s="1"/>
  <c r="H131" i="25"/>
  <c r="H130" i="25" s="1"/>
  <c r="I131" i="25"/>
  <c r="I130" i="25" s="1"/>
  <c r="G131" i="25"/>
  <c r="G130" i="25" s="1"/>
  <c r="H236" i="23"/>
  <c r="I236" i="23"/>
  <c r="G236" i="23"/>
  <c r="I235" i="23"/>
  <c r="H235" i="23"/>
  <c r="G235" i="23"/>
  <c r="I234" i="23"/>
  <c r="H234" i="23"/>
  <c r="G234" i="23"/>
  <c r="I213" i="23"/>
  <c r="H213" i="23"/>
  <c r="G213" i="23"/>
  <c r="I211" i="23"/>
  <c r="H211" i="23"/>
  <c r="G211" i="23"/>
  <c r="G21" i="26" l="1"/>
  <c r="H21" i="26"/>
  <c r="F21" i="26"/>
  <c r="H191" i="23"/>
  <c r="I191" i="23"/>
  <c r="G191" i="23"/>
  <c r="F417" i="26"/>
  <c r="G314" i="25"/>
  <c r="H439" i="23" l="1"/>
  <c r="I439" i="23"/>
  <c r="G439" i="23"/>
  <c r="G137" i="23" l="1"/>
  <c r="I183" i="23" l="1"/>
  <c r="I421" i="25" s="1"/>
  <c r="I420" i="25" s="1"/>
  <c r="I179" i="23"/>
  <c r="I423" i="25" s="1"/>
  <c r="I422" i="25" s="1"/>
  <c r="H183" i="23"/>
  <c r="H421" i="25" s="1"/>
  <c r="H420" i="25" s="1"/>
  <c r="H179" i="23"/>
  <c r="H423" i="25" s="1"/>
  <c r="H422" i="25" s="1"/>
  <c r="G179" i="23"/>
  <c r="G423" i="25" s="1"/>
  <c r="G422" i="25" s="1"/>
  <c r="G183" i="23"/>
  <c r="G421" i="25" s="1"/>
  <c r="G420" i="25" s="1"/>
  <c r="H182" i="23" l="1"/>
  <c r="I182" i="23"/>
  <c r="G93" i="26"/>
  <c r="G92" i="26" s="1"/>
  <c r="H93" i="26"/>
  <c r="H92" i="26" s="1"/>
  <c r="F93" i="26"/>
  <c r="F92" i="26" s="1"/>
  <c r="H84" i="25"/>
  <c r="H83" i="25" s="1"/>
  <c r="I84" i="25"/>
  <c r="I83" i="25" s="1"/>
  <c r="G84" i="25"/>
  <c r="G83" i="25" s="1"/>
  <c r="H458" i="23" l="1"/>
  <c r="G155" i="26" l="1"/>
  <c r="G154" i="26" s="1"/>
  <c r="H155" i="26"/>
  <c r="H154" i="26" s="1"/>
  <c r="F155" i="26"/>
  <c r="F154" i="26" s="1"/>
  <c r="H341" i="25"/>
  <c r="H340" i="25" s="1"/>
  <c r="I341" i="25"/>
  <c r="I340" i="25" s="1"/>
  <c r="G341" i="25"/>
  <c r="G340" i="25" s="1"/>
  <c r="H471" i="23"/>
  <c r="I471" i="23"/>
  <c r="G471" i="23"/>
  <c r="G476" i="23"/>
  <c r="I501" i="23"/>
  <c r="H501" i="23"/>
  <c r="G502" i="23"/>
  <c r="G501" i="23"/>
  <c r="I57" i="23" l="1"/>
  <c r="H57" i="23"/>
  <c r="G58" i="23"/>
  <c r="G57" i="23"/>
  <c r="I17" i="23" l="1"/>
  <c r="H17" i="23"/>
  <c r="G17" i="23"/>
  <c r="I20" i="23"/>
  <c r="H20" i="23"/>
  <c r="G20" i="23"/>
  <c r="I396" i="23"/>
  <c r="H396" i="23"/>
  <c r="G396" i="23"/>
  <c r="I296" i="23" l="1"/>
  <c r="H296" i="23"/>
  <c r="G296" i="23"/>
  <c r="I289" i="23"/>
  <c r="H289" i="23"/>
  <c r="G289" i="23"/>
  <c r="I377" i="23"/>
  <c r="H377" i="23"/>
  <c r="G377" i="23"/>
  <c r="I259" i="23"/>
  <c r="H259" i="23"/>
  <c r="G259" i="23"/>
  <c r="G176" i="25" l="1"/>
  <c r="G174" i="25" s="1"/>
  <c r="F258" i="26"/>
  <c r="I176" i="25"/>
  <c r="I174" i="25" s="1"/>
  <c r="H258" i="26"/>
  <c r="H176" i="25"/>
  <c r="H174" i="25" s="1"/>
  <c r="G258" i="26"/>
  <c r="I239" i="23"/>
  <c r="I172" i="25" s="1"/>
  <c r="I171" i="25" s="1"/>
  <c r="H239" i="23"/>
  <c r="H172" i="25" s="1"/>
  <c r="H171" i="25" s="1"/>
  <c r="G239" i="23"/>
  <c r="G172" i="25" s="1"/>
  <c r="G171" i="25" s="1"/>
  <c r="G400" i="23" l="1"/>
  <c r="G328" i="26" l="1"/>
  <c r="H328" i="26"/>
  <c r="F328" i="26"/>
  <c r="G179" i="25" l="1"/>
  <c r="G180" i="25"/>
  <c r="G182" i="25"/>
  <c r="G181" i="25" s="1"/>
  <c r="G184" i="25"/>
  <c r="G183" i="25" s="1"/>
  <c r="G186" i="25"/>
  <c r="G187" i="25"/>
  <c r="G188" i="25"/>
  <c r="G190" i="25"/>
  <c r="G191" i="25"/>
  <c r="G193" i="25"/>
  <c r="G194" i="25"/>
  <c r="G196" i="25"/>
  <c r="G195" i="25" s="1"/>
  <c r="G198" i="25"/>
  <c r="G197" i="25" s="1"/>
  <c r="G200" i="25"/>
  <c r="G199" i="25" s="1"/>
  <c r="G202" i="25"/>
  <c r="G203" i="25"/>
  <c r="G205" i="25"/>
  <c r="G204" i="25" s="1"/>
  <c r="G207" i="25"/>
  <c r="G206" i="25" s="1"/>
  <c r="G209" i="25"/>
  <c r="G208" i="25" s="1"/>
  <c r="G211" i="25"/>
  <c r="G210" i="25" s="1"/>
  <c r="G213" i="25"/>
  <c r="G214" i="25"/>
  <c r="G216" i="25"/>
  <c r="G217" i="25"/>
  <c r="G220" i="25"/>
  <c r="G221" i="25"/>
  <c r="G223" i="25"/>
  <c r="G222" i="25" s="1"/>
  <c r="G225" i="25"/>
  <c r="G226" i="25"/>
  <c r="G227" i="25"/>
  <c r="G228" i="25"/>
  <c r="G230" i="25"/>
  <c r="G231" i="25"/>
  <c r="G234" i="25"/>
  <c r="G233" i="25" s="1"/>
  <c r="G236" i="25"/>
  <c r="G237" i="25"/>
  <c r="G239" i="25"/>
  <c r="G238" i="25" s="1"/>
  <c r="G241" i="25"/>
  <c r="G242" i="25"/>
  <c r="G244" i="25"/>
  <c r="G245" i="25"/>
  <c r="G246" i="25"/>
  <c r="G248" i="25"/>
  <c r="G249" i="25"/>
  <c r="G255" i="25"/>
  <c r="G256" i="25"/>
  <c r="G258" i="25"/>
  <c r="G257" i="25" s="1"/>
  <c r="G260" i="25"/>
  <c r="G259" i="25" s="1"/>
  <c r="G262" i="25"/>
  <c r="G261" i="25" s="1"/>
  <c r="G265" i="25"/>
  <c r="G266" i="25"/>
  <c r="G269" i="25"/>
  <c r="G270" i="25"/>
  <c r="G271" i="25"/>
  <c r="G274" i="25"/>
  <c r="G273" i="25" s="1"/>
  <c r="G276" i="25"/>
  <c r="G277" i="25"/>
  <c r="G278" i="25"/>
  <c r="G280" i="25"/>
  <c r="G281" i="25"/>
  <c r="G285" i="25"/>
  <c r="G284" i="25" s="1"/>
  <c r="G287" i="25"/>
  <c r="G288" i="25"/>
  <c r="G290" i="25"/>
  <c r="G289" i="25" s="1"/>
  <c r="G292" i="25"/>
  <c r="G291" i="25" s="1"/>
  <c r="G294" i="25"/>
  <c r="G293" i="25" s="1"/>
  <c r="G296" i="25"/>
  <c r="G295" i="25" s="1"/>
  <c r="G298" i="25"/>
  <c r="G297" i="25" s="1"/>
  <c r="G300" i="25"/>
  <c r="G299" i="25" s="1"/>
  <c r="G302" i="25"/>
  <c r="G301" i="25" s="1"/>
  <c r="G304" i="25"/>
  <c r="G305" i="25"/>
  <c r="G307" i="25"/>
  <c r="G308" i="25"/>
  <c r="G309" i="25"/>
  <c r="G312" i="25"/>
  <c r="G313" i="25"/>
  <c r="G316" i="25"/>
  <c r="G315" i="25" s="1"/>
  <c r="G319" i="25"/>
  <c r="G318" i="25" s="1"/>
  <c r="G321" i="25"/>
  <c r="G322" i="25"/>
  <c r="G324" i="25"/>
  <c r="G323" i="25" s="1"/>
  <c r="G326" i="25"/>
  <c r="G327" i="25"/>
  <c r="G329" i="25"/>
  <c r="G328" i="25" s="1"/>
  <c r="G331" i="25"/>
  <c r="G330" i="25" s="1"/>
  <c r="G333" i="25"/>
  <c r="G332" i="25" s="1"/>
  <c r="G337" i="25"/>
  <c r="G336" i="25" s="1"/>
  <c r="G339" i="25"/>
  <c r="G338" i="25" s="1"/>
  <c r="G344" i="25"/>
  <c r="G343" i="25" s="1"/>
  <c r="G346" i="25"/>
  <c r="G345" i="25" s="1"/>
  <c r="G348" i="25"/>
  <c r="G347" i="25" s="1"/>
  <c r="G350" i="25"/>
  <c r="G349" i="25" s="1"/>
  <c r="G352" i="25"/>
  <c r="G351" i="25" s="1"/>
  <c r="G355" i="25"/>
  <c r="G356" i="25"/>
  <c r="G360" i="25"/>
  <c r="G359" i="25" s="1"/>
  <c r="G362" i="25"/>
  <c r="G361" i="25" s="1"/>
  <c r="G364" i="25"/>
  <c r="G363" i="25" s="1"/>
  <c r="G367" i="25"/>
  <c r="G366" i="25" s="1"/>
  <c r="G369" i="25"/>
  <c r="G368" i="25" s="1"/>
  <c r="G372" i="25"/>
  <c r="G371" i="25" s="1"/>
  <c r="G370" i="25" s="1"/>
  <c r="G375" i="25"/>
  <c r="G374" i="25" s="1"/>
  <c r="G373" i="25" s="1"/>
  <c r="G378" i="25"/>
  <c r="G377" i="25" s="1"/>
  <c r="G381" i="25"/>
  <c r="G380" i="25" s="1"/>
  <c r="G379" i="25" s="1"/>
  <c r="G384" i="25"/>
  <c r="G383" i="25" s="1"/>
  <c r="G382" i="25" s="1"/>
  <c r="G387" i="25"/>
  <c r="G386" i="25" s="1"/>
  <c r="G385" i="25" s="1"/>
  <c r="G390" i="25"/>
  <c r="G389" i="25" s="1"/>
  <c r="G388" i="25" s="1"/>
  <c r="G393" i="25"/>
  <c r="G392" i="25" s="1"/>
  <c r="G395" i="25"/>
  <c r="G394" i="25" s="1"/>
  <c r="G399" i="25"/>
  <c r="G400" i="25"/>
  <c r="G427" i="25"/>
  <c r="G426" i="25" s="1"/>
  <c r="G414" i="25" s="1"/>
  <c r="G335" i="25" l="1"/>
  <c r="G254" i="25"/>
  <c r="G391" i="25"/>
  <c r="G342" i="25"/>
  <c r="G286" i="25"/>
  <c r="G283" i="25" s="1"/>
  <c r="G251" i="25"/>
  <c r="G247" i="25"/>
  <c r="G311" i="25"/>
  <c r="G310" i="25" s="1"/>
  <c r="G215" i="25"/>
  <c r="G303" i="25"/>
  <c r="G235" i="25"/>
  <c r="G398" i="25"/>
  <c r="G397" i="25" s="1"/>
  <c r="G396" i="25" s="1"/>
  <c r="G264" i="25"/>
  <c r="G263" i="25" s="1"/>
  <c r="G229" i="25"/>
  <c r="G243" i="25"/>
  <c r="G212" i="25"/>
  <c r="G354" i="25"/>
  <c r="G353" i="25" s="1"/>
  <c r="G268" i="25"/>
  <c r="G267" i="25" s="1"/>
  <c r="G240" i="25"/>
  <c r="G192" i="25"/>
  <c r="G178" i="25"/>
  <c r="G320" i="25"/>
  <c r="G201" i="25"/>
  <c r="G189" i="25"/>
  <c r="G306" i="25"/>
  <c r="G185" i="25"/>
  <c r="G376" i="25"/>
  <c r="G275" i="25"/>
  <c r="G224" i="25"/>
  <c r="G219" i="25"/>
  <c r="G365" i="25"/>
  <c r="G279" i="25"/>
  <c r="G358" i="25"/>
  <c r="G321" i="26"/>
  <c r="H321" i="26"/>
  <c r="F321" i="26"/>
  <c r="H280" i="25"/>
  <c r="I280" i="25"/>
  <c r="H398" i="23"/>
  <c r="I398" i="23"/>
  <c r="J398" i="23"/>
  <c r="K398" i="23"/>
  <c r="L398" i="23"/>
  <c r="M398" i="23"/>
  <c r="N398" i="23"/>
  <c r="O398" i="23"/>
  <c r="P398" i="23"/>
  <c r="Q398" i="23"/>
  <c r="G398" i="23"/>
  <c r="G334" i="25" l="1"/>
  <c r="G282" i="25"/>
  <c r="G272" i="25"/>
  <c r="G232" i="25"/>
  <c r="G218" i="25"/>
  <c r="G177" i="25"/>
  <c r="G357" i="25"/>
  <c r="G250" i="25" l="1"/>
  <c r="G447" i="26" l="1"/>
  <c r="G446" i="26" s="1"/>
  <c r="G444" i="26" s="1"/>
  <c r="H447" i="26"/>
  <c r="H446" i="26" s="1"/>
  <c r="H444" i="26" s="1"/>
  <c r="F447" i="26"/>
  <c r="F446" i="26" s="1"/>
  <c r="F444" i="26" s="1"/>
  <c r="H44" i="25"/>
  <c r="I44" i="25"/>
  <c r="G44" i="25"/>
  <c r="H107" i="23"/>
  <c r="H106" i="23" s="1"/>
  <c r="H105" i="23" s="1"/>
  <c r="I107" i="23"/>
  <c r="I106" i="23" s="1"/>
  <c r="I105" i="23" s="1"/>
  <c r="G107" i="23"/>
  <c r="G106" i="23" s="1"/>
  <c r="G105" i="23" s="1"/>
  <c r="F445" i="26" l="1"/>
  <c r="H445" i="26"/>
  <c r="G445" i="26"/>
  <c r="H43" i="25" l="1"/>
  <c r="I43" i="25"/>
  <c r="G43" i="25"/>
  <c r="F398" i="26" l="1"/>
  <c r="G167" i="26"/>
  <c r="G166" i="26" s="1"/>
  <c r="H167" i="26"/>
  <c r="H166" i="26" s="1"/>
  <c r="F167" i="26"/>
  <c r="F166" i="26" s="1"/>
  <c r="H352" i="25"/>
  <c r="H351" i="25" s="1"/>
  <c r="I352" i="25"/>
  <c r="I351" i="25" s="1"/>
  <c r="I483" i="23"/>
  <c r="H483" i="23"/>
  <c r="G483" i="23"/>
  <c r="H54" i="23" l="1"/>
  <c r="I54" i="23"/>
  <c r="G54" i="23"/>
  <c r="G433" i="26" l="1"/>
  <c r="G432" i="26" s="1"/>
  <c r="H433" i="26"/>
  <c r="H432" i="26" s="1"/>
  <c r="F433" i="26"/>
  <c r="F432" i="26" s="1"/>
  <c r="H333" i="25"/>
  <c r="H332" i="25" s="1"/>
  <c r="I333" i="25"/>
  <c r="I332" i="25" s="1"/>
  <c r="I321" i="23"/>
  <c r="I320" i="23" s="1"/>
  <c r="I319" i="23" s="1"/>
  <c r="H321" i="23"/>
  <c r="H320" i="23" s="1"/>
  <c r="H319" i="23" s="1"/>
  <c r="G321" i="23"/>
  <c r="G320" i="23" s="1"/>
  <c r="G319" i="23" s="1"/>
  <c r="F200" i="26" l="1"/>
  <c r="G165" i="26" l="1"/>
  <c r="G164" i="26" s="1"/>
  <c r="H165" i="26"/>
  <c r="H164" i="26" s="1"/>
  <c r="F165" i="26"/>
  <c r="F164" i="26" s="1"/>
  <c r="H350" i="25"/>
  <c r="H349" i="25" s="1"/>
  <c r="I350" i="25"/>
  <c r="I349" i="25" s="1"/>
  <c r="G481" i="23"/>
  <c r="I481" i="23"/>
  <c r="H481" i="23"/>
  <c r="F249" i="26" l="1"/>
  <c r="F248" i="26" s="1"/>
  <c r="G249" i="26"/>
  <c r="G248" i="26" s="1"/>
  <c r="H249" i="26"/>
  <c r="H248" i="26" s="1"/>
  <c r="G252" i="26"/>
  <c r="H252" i="26"/>
  <c r="H147" i="25"/>
  <c r="H146" i="25" s="1"/>
  <c r="I147" i="25"/>
  <c r="I146" i="25" s="1"/>
  <c r="H217" i="25"/>
  <c r="I217" i="25"/>
  <c r="G147" i="25" l="1"/>
  <c r="G146" i="25" s="1"/>
  <c r="H67" i="23" l="1"/>
  <c r="I67" i="23"/>
  <c r="G67" i="23"/>
  <c r="F251" i="26" l="1"/>
  <c r="F252" i="26"/>
  <c r="G322" i="26"/>
  <c r="G320" i="26" s="1"/>
  <c r="H322" i="26"/>
  <c r="H320" i="26" s="1"/>
  <c r="F322" i="26"/>
  <c r="F320" i="26" s="1"/>
  <c r="H281" i="25"/>
  <c r="H279" i="25" s="1"/>
  <c r="I281" i="25"/>
  <c r="I279" i="25" s="1"/>
  <c r="F250" i="26" l="1"/>
  <c r="G101" i="26"/>
  <c r="G100" i="26" s="1"/>
  <c r="H101" i="26"/>
  <c r="H100" i="26" s="1"/>
  <c r="F101" i="26"/>
  <c r="F100" i="26" s="1"/>
  <c r="H76" i="25"/>
  <c r="H75" i="25" s="1"/>
  <c r="I76" i="25"/>
  <c r="I75" i="25" s="1"/>
  <c r="G76" i="25"/>
  <c r="G75" i="25" s="1"/>
  <c r="G120" i="26" l="1"/>
  <c r="G119" i="26" s="1"/>
  <c r="H120" i="26"/>
  <c r="H119" i="26" s="1"/>
  <c r="F120" i="26"/>
  <c r="F119" i="26" s="1"/>
  <c r="H395" i="25"/>
  <c r="H394" i="25" s="1"/>
  <c r="I395" i="25"/>
  <c r="I394" i="25" s="1"/>
  <c r="H75" i="23"/>
  <c r="I75" i="23"/>
  <c r="G75" i="23"/>
  <c r="G97" i="26" l="1"/>
  <c r="G96" i="26" s="1"/>
  <c r="H97" i="26"/>
  <c r="H96" i="26" s="1"/>
  <c r="F97" i="26"/>
  <c r="F96" i="26" s="1"/>
  <c r="H70" i="25"/>
  <c r="H69" i="25" s="1"/>
  <c r="H68" i="25" s="1"/>
  <c r="I70" i="25"/>
  <c r="I69" i="25" s="1"/>
  <c r="I68" i="25" s="1"/>
  <c r="G70" i="25"/>
  <c r="G69" i="25" s="1"/>
  <c r="G68" i="25" s="1"/>
  <c r="H63" i="23"/>
  <c r="H62" i="23" s="1"/>
  <c r="H61" i="23" s="1"/>
  <c r="I63" i="23"/>
  <c r="I62" i="23" s="1"/>
  <c r="I61" i="23" s="1"/>
  <c r="G63" i="23"/>
  <c r="G62" i="23" s="1"/>
  <c r="G103" i="26"/>
  <c r="G102" i="26" s="1"/>
  <c r="H103" i="26"/>
  <c r="H102" i="26" s="1"/>
  <c r="F103" i="26"/>
  <c r="F102" i="26" s="1"/>
  <c r="H78" i="25"/>
  <c r="H77" i="25" s="1"/>
  <c r="I78" i="25"/>
  <c r="I77" i="25" s="1"/>
  <c r="G78" i="25"/>
  <c r="G77" i="25" s="1"/>
  <c r="F99" i="26"/>
  <c r="F98" i="26" s="1"/>
  <c r="H99" i="26"/>
  <c r="H98" i="26" s="1"/>
  <c r="G99" i="26"/>
  <c r="G98" i="26" s="1"/>
  <c r="F95" i="26" l="1"/>
  <c r="H95" i="26"/>
  <c r="H94" i="26" s="1"/>
  <c r="G95" i="26"/>
  <c r="G94" i="26" s="1"/>
  <c r="H256" i="25"/>
  <c r="I256" i="25"/>
  <c r="G244" i="26" l="1"/>
  <c r="G243" i="26" s="1"/>
  <c r="H244" i="26"/>
  <c r="H243" i="26" s="1"/>
  <c r="F244" i="26"/>
  <c r="F243" i="26" s="1"/>
  <c r="H136" i="25"/>
  <c r="H135" i="25" s="1"/>
  <c r="I136" i="25"/>
  <c r="I135" i="25" s="1"/>
  <c r="G136" i="25"/>
  <c r="G135" i="25" s="1"/>
  <c r="H252" i="23"/>
  <c r="I252" i="23"/>
  <c r="G252" i="23"/>
  <c r="J285" i="23" l="1"/>
  <c r="K285" i="23"/>
  <c r="L285" i="23"/>
  <c r="M285" i="23"/>
  <c r="N285" i="23"/>
  <c r="O285" i="23"/>
  <c r="P285" i="23"/>
  <c r="Q285" i="23"/>
  <c r="G207" i="26" l="1"/>
  <c r="G206" i="26" s="1"/>
  <c r="H207" i="26"/>
  <c r="H206" i="26" s="1"/>
  <c r="F207" i="26"/>
  <c r="F206" i="26" s="1"/>
  <c r="H156" i="25"/>
  <c r="H155" i="25" s="1"/>
  <c r="I156" i="25"/>
  <c r="I155" i="25" s="1"/>
  <c r="G156" i="25"/>
  <c r="G155" i="25" s="1"/>
  <c r="G215" i="23"/>
  <c r="I215" i="23"/>
  <c r="H215" i="23"/>
  <c r="J428" i="23" l="1"/>
  <c r="K428" i="23"/>
  <c r="L428" i="23"/>
  <c r="M428" i="23"/>
  <c r="N428" i="23"/>
  <c r="O428" i="23"/>
  <c r="P428" i="23"/>
  <c r="Q428" i="23"/>
  <c r="H448" i="23" l="1"/>
  <c r="H447" i="23" s="1"/>
  <c r="H446" i="23" s="1"/>
  <c r="I448" i="23"/>
  <c r="I447" i="23" s="1"/>
  <c r="I446" i="23" s="1"/>
  <c r="G448" i="23"/>
  <c r="G447" i="23" s="1"/>
  <c r="G142" i="26"/>
  <c r="G141" i="26" s="1"/>
  <c r="H142" i="26"/>
  <c r="H141" i="26" s="1"/>
  <c r="F142" i="26"/>
  <c r="F141" i="26" s="1"/>
  <c r="H106" i="25"/>
  <c r="H105" i="25" s="1"/>
  <c r="H102" i="25" s="1"/>
  <c r="I106" i="25"/>
  <c r="I105" i="25" s="1"/>
  <c r="I102" i="25" s="1"/>
  <c r="G106" i="25"/>
  <c r="G105" i="25" s="1"/>
  <c r="J463" i="23"/>
  <c r="K463" i="23"/>
  <c r="L463" i="23"/>
  <c r="M463" i="23"/>
  <c r="N463" i="23"/>
  <c r="O463" i="23"/>
  <c r="P463" i="23"/>
  <c r="Q463" i="23"/>
  <c r="H466" i="23"/>
  <c r="I466" i="23"/>
  <c r="G466" i="23"/>
  <c r="G446" i="23" l="1"/>
  <c r="G153" i="26"/>
  <c r="H153" i="26"/>
  <c r="J468" i="23"/>
  <c r="K468" i="23"/>
  <c r="L468" i="23"/>
  <c r="M468" i="23"/>
  <c r="N468" i="23"/>
  <c r="O468" i="23"/>
  <c r="P468" i="23"/>
  <c r="Q468" i="23"/>
  <c r="G115" i="26" l="1"/>
  <c r="H115" i="26"/>
  <c r="H460" i="23"/>
  <c r="G114" i="26" s="1"/>
  <c r="I460" i="23"/>
  <c r="H114" i="26" s="1"/>
  <c r="F115" i="26"/>
  <c r="G460" i="23" l="1"/>
  <c r="F114" i="26" s="1"/>
  <c r="G436" i="26" l="1"/>
  <c r="H436" i="26"/>
  <c r="F436" i="26"/>
  <c r="H326" i="25"/>
  <c r="I326" i="25"/>
  <c r="G131" i="23"/>
  <c r="H131" i="23"/>
  <c r="G435" i="26" s="1"/>
  <c r="I131" i="23"/>
  <c r="H435" i="26" s="1"/>
  <c r="F435" i="26" l="1"/>
  <c r="G325" i="25"/>
  <c r="G317" i="25" s="1"/>
  <c r="H325" i="25"/>
  <c r="I325" i="25"/>
  <c r="G451" i="26" l="1"/>
  <c r="H451" i="26"/>
  <c r="F451" i="26"/>
  <c r="G437" i="26"/>
  <c r="H437" i="26"/>
  <c r="F437" i="26"/>
  <c r="G429" i="26"/>
  <c r="H429" i="26"/>
  <c r="F429" i="26"/>
  <c r="G425" i="26"/>
  <c r="H425" i="26"/>
  <c r="G419" i="26"/>
  <c r="H419" i="26"/>
  <c r="F419" i="26"/>
  <c r="G415" i="26"/>
  <c r="H415" i="26"/>
  <c r="G416" i="26"/>
  <c r="H416" i="26"/>
  <c r="F416" i="26"/>
  <c r="G412" i="26"/>
  <c r="H412" i="26"/>
  <c r="G413" i="26"/>
  <c r="H413" i="26"/>
  <c r="F412" i="26"/>
  <c r="F413" i="26"/>
  <c r="G409" i="26"/>
  <c r="H409" i="26"/>
  <c r="F409" i="26"/>
  <c r="G407" i="26"/>
  <c r="H407" i="26"/>
  <c r="F407" i="26"/>
  <c r="G405" i="26"/>
  <c r="H405" i="26"/>
  <c r="F405" i="26"/>
  <c r="G403" i="26"/>
  <c r="G402" i="26" s="1"/>
  <c r="H403" i="26"/>
  <c r="H402" i="26" s="1"/>
  <c r="F403" i="26"/>
  <c r="F402" i="26" s="1"/>
  <c r="F401" i="26"/>
  <c r="G399" i="26"/>
  <c r="G398" i="26" s="1"/>
  <c r="H399" i="26"/>
  <c r="H398" i="26" s="1"/>
  <c r="G396" i="26"/>
  <c r="H396" i="26"/>
  <c r="G397" i="26"/>
  <c r="H397" i="26"/>
  <c r="F397" i="26"/>
  <c r="F396" i="26"/>
  <c r="G393" i="26"/>
  <c r="G392" i="26" s="1"/>
  <c r="H393" i="26"/>
  <c r="H392" i="26" s="1"/>
  <c r="F393" i="26"/>
  <c r="F392" i="26" s="1"/>
  <c r="G391" i="26"/>
  <c r="H391" i="26"/>
  <c r="F391" i="26"/>
  <c r="G388" i="26"/>
  <c r="H388" i="26"/>
  <c r="G389" i="26"/>
  <c r="H389" i="26"/>
  <c r="F389" i="26"/>
  <c r="F388" i="26"/>
  <c r="G386" i="26"/>
  <c r="F386" i="26"/>
  <c r="G384" i="26"/>
  <c r="H384" i="26"/>
  <c r="F384" i="26"/>
  <c r="G380" i="26"/>
  <c r="H380" i="26"/>
  <c r="F380" i="26"/>
  <c r="G376" i="26"/>
  <c r="H376" i="26"/>
  <c r="G377" i="26"/>
  <c r="H377" i="26"/>
  <c r="G378" i="26"/>
  <c r="H378" i="26"/>
  <c r="F378" i="26"/>
  <c r="F377" i="26"/>
  <c r="F376" i="26"/>
  <c r="G374" i="26"/>
  <c r="H374" i="26"/>
  <c r="F374" i="26"/>
  <c r="G372" i="26"/>
  <c r="H372" i="26"/>
  <c r="G370" i="26"/>
  <c r="H370" i="26"/>
  <c r="F370" i="26"/>
  <c r="G368" i="26"/>
  <c r="G367" i="26" s="1"/>
  <c r="H368" i="26"/>
  <c r="H367" i="26" s="1"/>
  <c r="F368" i="26"/>
  <c r="F367" i="26" s="1"/>
  <c r="G363" i="26"/>
  <c r="H363" i="26"/>
  <c r="G364" i="26"/>
  <c r="H364" i="26"/>
  <c r="G365" i="26"/>
  <c r="H365" i="26"/>
  <c r="F364" i="26"/>
  <c r="F365" i="26"/>
  <c r="F363" i="26"/>
  <c r="G360" i="26"/>
  <c r="H360" i="26"/>
  <c r="G361" i="26"/>
  <c r="H361" i="26"/>
  <c r="F361" i="26"/>
  <c r="F360" i="26"/>
  <c r="G350" i="26"/>
  <c r="H350" i="26"/>
  <c r="F350" i="26"/>
  <c r="G347" i="26"/>
  <c r="H347" i="26"/>
  <c r="F347" i="26"/>
  <c r="G345" i="26"/>
  <c r="H345" i="26"/>
  <c r="F345" i="26"/>
  <c r="G343" i="26"/>
  <c r="H343" i="26"/>
  <c r="F343" i="26"/>
  <c r="G338" i="26"/>
  <c r="H338" i="26"/>
  <c r="F338" i="26"/>
  <c r="G334" i="26"/>
  <c r="H334" i="26"/>
  <c r="F327" i="26"/>
  <c r="F326" i="26" s="1"/>
  <c r="G414" i="26" l="1"/>
  <c r="H414" i="26"/>
  <c r="G324" i="26"/>
  <c r="H324" i="26"/>
  <c r="F324" i="26"/>
  <c r="G319" i="26"/>
  <c r="H319" i="26"/>
  <c r="F319" i="26"/>
  <c r="G311" i="26"/>
  <c r="H311" i="26"/>
  <c r="G312" i="26"/>
  <c r="H312" i="26"/>
  <c r="F312" i="26"/>
  <c r="F311" i="26"/>
  <c r="G306" i="26"/>
  <c r="H306" i="26"/>
  <c r="G307" i="26"/>
  <c r="H307" i="26"/>
  <c r="F307" i="26"/>
  <c r="G302" i="26"/>
  <c r="H302" i="26"/>
  <c r="G303" i="26"/>
  <c r="H303" i="26"/>
  <c r="G304" i="26"/>
  <c r="H304" i="26"/>
  <c r="F303" i="26"/>
  <c r="F304" i="26"/>
  <c r="F302" i="26"/>
  <c r="G298" i="26"/>
  <c r="H298" i="26"/>
  <c r="F298" i="26"/>
  <c r="G296" i="26"/>
  <c r="H296" i="26"/>
  <c r="G293" i="26"/>
  <c r="H293" i="26"/>
  <c r="F293" i="26"/>
  <c r="G291" i="26"/>
  <c r="H291" i="26"/>
  <c r="F291" i="26"/>
  <c r="G289" i="26"/>
  <c r="H289" i="26"/>
  <c r="F289" i="26"/>
  <c r="G280" i="26"/>
  <c r="H280" i="26"/>
  <c r="G281" i="26"/>
  <c r="H281" i="26"/>
  <c r="H282" i="26"/>
  <c r="G283" i="26"/>
  <c r="H283" i="26"/>
  <c r="F281" i="26"/>
  <c r="F282" i="26"/>
  <c r="F283" i="26"/>
  <c r="F280" i="26"/>
  <c r="F278" i="26"/>
  <c r="G275" i="26"/>
  <c r="H275" i="26"/>
  <c r="G276" i="26"/>
  <c r="H276" i="26"/>
  <c r="F276" i="26"/>
  <c r="F275" i="26"/>
  <c r="G271" i="26"/>
  <c r="H271" i="26"/>
  <c r="G272" i="26"/>
  <c r="H272" i="26"/>
  <c r="G273" i="26"/>
  <c r="H273" i="26"/>
  <c r="F272" i="26"/>
  <c r="F273" i="26"/>
  <c r="F271" i="26"/>
  <c r="G268" i="26"/>
  <c r="H268" i="26"/>
  <c r="G269" i="26"/>
  <c r="H269" i="26"/>
  <c r="F269" i="26"/>
  <c r="F268" i="26"/>
  <c r="G265" i="26"/>
  <c r="H265" i="26"/>
  <c r="G266" i="26"/>
  <c r="H266" i="26"/>
  <c r="F266" i="26"/>
  <c r="F265" i="26"/>
  <c r="G263" i="26"/>
  <c r="H263" i="26"/>
  <c r="F263" i="26"/>
  <c r="G261" i="26"/>
  <c r="H261" i="26"/>
  <c r="F261" i="26"/>
  <c r="G257" i="26"/>
  <c r="H257" i="26"/>
  <c r="F257" i="26"/>
  <c r="G255" i="26"/>
  <c r="G254" i="26" s="1"/>
  <c r="H255" i="26"/>
  <c r="H254" i="26" s="1"/>
  <c r="F255" i="26"/>
  <c r="F254" i="26" s="1"/>
  <c r="H305" i="26" l="1"/>
  <c r="G305" i="26"/>
  <c r="G247" i="26"/>
  <c r="H247" i="26"/>
  <c r="F247" i="26"/>
  <c r="G241" i="26"/>
  <c r="H241" i="26"/>
  <c r="F241" i="26"/>
  <c r="H239" i="26"/>
  <c r="G239" i="26"/>
  <c r="G233" i="26"/>
  <c r="H233" i="26"/>
  <c r="G234" i="26"/>
  <c r="H234" i="26"/>
  <c r="F234" i="26"/>
  <c r="F233" i="26"/>
  <c r="G230" i="26"/>
  <c r="H230" i="26"/>
  <c r="G231" i="26"/>
  <c r="H231" i="26"/>
  <c r="F231" i="26"/>
  <c r="F230" i="26"/>
  <c r="G227" i="26"/>
  <c r="H227" i="26"/>
  <c r="F227" i="26"/>
  <c r="G221" i="26"/>
  <c r="H221" i="26"/>
  <c r="G223" i="26"/>
  <c r="H223" i="26"/>
  <c r="F222" i="26"/>
  <c r="F223" i="26"/>
  <c r="F221" i="26"/>
  <c r="F219" i="26"/>
  <c r="G217" i="26"/>
  <c r="H217" i="26"/>
  <c r="F217" i="26"/>
  <c r="G211" i="26"/>
  <c r="H211" i="26"/>
  <c r="F211" i="26"/>
  <c r="G198" i="26"/>
  <c r="H198" i="26"/>
  <c r="G201" i="26"/>
  <c r="H201" i="26"/>
  <c r="F199" i="26"/>
  <c r="F201" i="26"/>
  <c r="F198" i="26"/>
  <c r="G187" i="26"/>
  <c r="H187" i="26"/>
  <c r="G184" i="26"/>
  <c r="H184" i="26"/>
  <c r="G185" i="26"/>
  <c r="H185" i="26"/>
  <c r="F185" i="26"/>
  <c r="F184" i="26"/>
  <c r="G181" i="26"/>
  <c r="H181" i="26"/>
  <c r="F181" i="26"/>
  <c r="G179" i="26"/>
  <c r="G178" i="26" s="1"/>
  <c r="H179" i="26"/>
  <c r="H178" i="26" s="1"/>
  <c r="G177" i="26"/>
  <c r="H177" i="26"/>
  <c r="F177" i="26"/>
  <c r="G175" i="26"/>
  <c r="H175" i="26"/>
  <c r="F175" i="26"/>
  <c r="G173" i="26"/>
  <c r="H173" i="26"/>
  <c r="F173" i="26"/>
  <c r="H170" i="26"/>
  <c r="H171" i="26"/>
  <c r="G163" i="26"/>
  <c r="H163" i="26"/>
  <c r="F163" i="26"/>
  <c r="G161" i="26"/>
  <c r="H161" i="26"/>
  <c r="F161" i="26"/>
  <c r="G159" i="26"/>
  <c r="H159" i="26"/>
  <c r="G157" i="26"/>
  <c r="H157" i="26"/>
  <c r="F157" i="26"/>
  <c r="G150" i="26"/>
  <c r="H150" i="26"/>
  <c r="F150" i="26"/>
  <c r="G148" i="26"/>
  <c r="H148" i="26"/>
  <c r="F148" i="26"/>
  <c r="G146" i="26"/>
  <c r="G145" i="26" s="1"/>
  <c r="H146" i="26"/>
  <c r="H145" i="26" s="1"/>
  <c r="F146" i="26"/>
  <c r="F145" i="26" s="1"/>
  <c r="G144" i="26"/>
  <c r="G143" i="26" s="1"/>
  <c r="H144" i="26"/>
  <c r="H143" i="26" s="1"/>
  <c r="F144" i="26"/>
  <c r="F143" i="26" s="1"/>
  <c r="G140" i="26"/>
  <c r="H140" i="26"/>
  <c r="F140" i="26"/>
  <c r="G124" i="26"/>
  <c r="H124" i="26"/>
  <c r="G122" i="26"/>
  <c r="H122" i="26"/>
  <c r="G118" i="26"/>
  <c r="H118" i="26"/>
  <c r="F118" i="26"/>
  <c r="G113" i="26"/>
  <c r="H113" i="26"/>
  <c r="F113" i="26"/>
  <c r="H111" i="26"/>
  <c r="G111" i="26"/>
  <c r="G109" i="26"/>
  <c r="H109" i="26"/>
  <c r="F109" i="26"/>
  <c r="G107" i="26"/>
  <c r="H107" i="26"/>
  <c r="F107" i="26"/>
  <c r="G85" i="26"/>
  <c r="G84" i="26" s="1"/>
  <c r="H85" i="26"/>
  <c r="H84" i="26" s="1"/>
  <c r="F85" i="26"/>
  <c r="F84" i="26" s="1"/>
  <c r="G83" i="26"/>
  <c r="H83" i="26"/>
  <c r="G79" i="26"/>
  <c r="H79" i="26"/>
  <c r="G81" i="26"/>
  <c r="H81" i="26"/>
  <c r="F81" i="26"/>
  <c r="F79" i="26"/>
  <c r="G77" i="26"/>
  <c r="H77" i="26"/>
  <c r="F77" i="26"/>
  <c r="G75" i="26"/>
  <c r="H75" i="26"/>
  <c r="G73" i="26"/>
  <c r="H73" i="26"/>
  <c r="G71" i="26"/>
  <c r="H71" i="26"/>
  <c r="F71" i="26"/>
  <c r="G69" i="26"/>
  <c r="H69" i="26"/>
  <c r="F69" i="26"/>
  <c r="G67" i="26"/>
  <c r="H67" i="26"/>
  <c r="F67" i="26"/>
  <c r="G65" i="26"/>
  <c r="H65" i="26"/>
  <c r="G63" i="26"/>
  <c r="H63" i="26"/>
  <c r="F63" i="26"/>
  <c r="G61" i="26"/>
  <c r="H61" i="26"/>
  <c r="F61" i="26"/>
  <c r="G52" i="26"/>
  <c r="H52" i="26"/>
  <c r="F52" i="26"/>
  <c r="G47" i="26"/>
  <c r="H47" i="26"/>
  <c r="F47" i="26"/>
  <c r="G42" i="26"/>
  <c r="H42" i="26"/>
  <c r="F42" i="26"/>
  <c r="G36" i="26"/>
  <c r="H36" i="26"/>
  <c r="F36" i="26"/>
  <c r="G30" i="26"/>
  <c r="H30" i="26"/>
  <c r="F30" i="26"/>
  <c r="G27" i="26"/>
  <c r="H27" i="26"/>
  <c r="F27" i="26"/>
  <c r="G23" i="26"/>
  <c r="H23" i="26"/>
  <c r="G20" i="26"/>
  <c r="G19" i="26" s="1"/>
  <c r="H20" i="26"/>
  <c r="H19" i="26" s="1"/>
  <c r="G16" i="26"/>
  <c r="H16" i="26"/>
  <c r="G17" i="26"/>
  <c r="H17" i="26"/>
  <c r="G18" i="26"/>
  <c r="H18" i="26"/>
  <c r="F17" i="26"/>
  <c r="F18" i="26"/>
  <c r="H427" i="25"/>
  <c r="I427" i="25"/>
  <c r="I399" i="25"/>
  <c r="I400" i="25"/>
  <c r="H393" i="25"/>
  <c r="I393" i="25"/>
  <c r="H387" i="25"/>
  <c r="I387" i="25"/>
  <c r="H384" i="25"/>
  <c r="I384" i="25"/>
  <c r="H381" i="25"/>
  <c r="I381" i="25"/>
  <c r="H378" i="25"/>
  <c r="H377" i="25" s="1"/>
  <c r="H376" i="25" s="1"/>
  <c r="I378" i="25"/>
  <c r="I377" i="25" s="1"/>
  <c r="I376" i="25" s="1"/>
  <c r="H375" i="25"/>
  <c r="I375" i="25"/>
  <c r="H372" i="25"/>
  <c r="I372" i="25"/>
  <c r="H369" i="25"/>
  <c r="I369" i="25"/>
  <c r="H367" i="25"/>
  <c r="I367" i="25"/>
  <c r="I364" i="25"/>
  <c r="H364" i="25"/>
  <c r="H362" i="25"/>
  <c r="I362" i="25"/>
  <c r="H360" i="25"/>
  <c r="I360" i="25"/>
  <c r="H355" i="25"/>
  <c r="I355" i="25"/>
  <c r="H356" i="25"/>
  <c r="I356" i="25"/>
  <c r="H348" i="25"/>
  <c r="I348" i="25"/>
  <c r="H346" i="25"/>
  <c r="I346" i="25"/>
  <c r="H344" i="25"/>
  <c r="I344" i="25"/>
  <c r="H339" i="25"/>
  <c r="I339" i="25"/>
  <c r="H337" i="25"/>
  <c r="I337" i="25"/>
  <c r="G78" i="26" l="1"/>
  <c r="F78" i="26"/>
  <c r="H78" i="26"/>
  <c r="H329" i="25"/>
  <c r="I329" i="25"/>
  <c r="H327" i="25"/>
  <c r="I327" i="25"/>
  <c r="H316" i="25"/>
  <c r="I316" i="25"/>
  <c r="H312" i="25"/>
  <c r="I312" i="25"/>
  <c r="H313" i="25"/>
  <c r="I313" i="25"/>
  <c r="H307" i="25"/>
  <c r="I307" i="25"/>
  <c r="H308" i="25"/>
  <c r="I308" i="25"/>
  <c r="H309" i="25"/>
  <c r="I309" i="25"/>
  <c r="H304" i="25"/>
  <c r="I304" i="25"/>
  <c r="H305" i="25"/>
  <c r="I305" i="25"/>
  <c r="H302" i="25"/>
  <c r="I302" i="25"/>
  <c r="H292" i="25"/>
  <c r="H291" i="25" s="1"/>
  <c r="I292" i="25"/>
  <c r="I291" i="25" s="1"/>
  <c r="H290" i="25"/>
  <c r="I290" i="25"/>
  <c r="H288" i="25"/>
  <c r="I288" i="25"/>
  <c r="H285" i="25"/>
  <c r="H284" i="25" s="1"/>
  <c r="I285" i="25"/>
  <c r="I284" i="25" s="1"/>
  <c r="H278" i="25"/>
  <c r="I278" i="25"/>
  <c r="H270" i="25"/>
  <c r="I270" i="25"/>
  <c r="H271" i="25"/>
  <c r="I271" i="25"/>
  <c r="H265" i="25"/>
  <c r="I265" i="25"/>
  <c r="H266" i="25"/>
  <c r="I266" i="25"/>
  <c r="H262" i="25"/>
  <c r="I262" i="25"/>
  <c r="H260" i="25"/>
  <c r="I260" i="25"/>
  <c r="H258" i="25"/>
  <c r="I258" i="25"/>
  <c r="H255" i="25"/>
  <c r="H254" i="25" s="1"/>
  <c r="I255" i="25"/>
  <c r="I254" i="25" s="1"/>
  <c r="H248" i="25"/>
  <c r="I248" i="25"/>
  <c r="H249" i="25"/>
  <c r="I249" i="25"/>
  <c r="H244" i="25"/>
  <c r="I244" i="25"/>
  <c r="H245" i="25"/>
  <c r="I245" i="25"/>
  <c r="H246" i="25"/>
  <c r="I246" i="25"/>
  <c r="H241" i="25"/>
  <c r="I241" i="25"/>
  <c r="H239" i="25"/>
  <c r="I239" i="25"/>
  <c r="H236" i="25"/>
  <c r="I236" i="25"/>
  <c r="H234" i="25"/>
  <c r="I234" i="25"/>
  <c r="I247" i="25" l="1"/>
  <c r="H247" i="25"/>
  <c r="I311" i="25"/>
  <c r="H311" i="25"/>
  <c r="H231" i="25"/>
  <c r="I231" i="25"/>
  <c r="H225" i="25"/>
  <c r="I225" i="25"/>
  <c r="H226" i="25"/>
  <c r="I226" i="25"/>
  <c r="I227" i="25"/>
  <c r="H228" i="25"/>
  <c r="I228" i="25"/>
  <c r="H220" i="25"/>
  <c r="I220" i="25"/>
  <c r="H221" i="25"/>
  <c r="I221" i="25"/>
  <c r="H213" i="25"/>
  <c r="I213" i="25"/>
  <c r="H214" i="25"/>
  <c r="I214" i="25"/>
  <c r="H211" i="25"/>
  <c r="H209" i="25"/>
  <c r="I209" i="25"/>
  <c r="H205" i="25"/>
  <c r="I205" i="25"/>
  <c r="H202" i="25"/>
  <c r="I202" i="25"/>
  <c r="H200" i="25"/>
  <c r="I200" i="25"/>
  <c r="H198" i="25"/>
  <c r="I198" i="25"/>
  <c r="H196" i="25"/>
  <c r="I196" i="25"/>
  <c r="H190" i="25"/>
  <c r="I190" i="25"/>
  <c r="H191" i="25"/>
  <c r="I191" i="25"/>
  <c r="H186" i="25"/>
  <c r="I186" i="25"/>
  <c r="H187" i="25"/>
  <c r="I187" i="25"/>
  <c r="H188" i="25"/>
  <c r="I188" i="25"/>
  <c r="H184" i="25"/>
  <c r="I184" i="25"/>
  <c r="H182" i="25"/>
  <c r="I182" i="25"/>
  <c r="H179" i="25"/>
  <c r="I179" i="25"/>
  <c r="H180" i="25"/>
  <c r="I180" i="25"/>
  <c r="H170" i="25"/>
  <c r="I170" i="25"/>
  <c r="G170" i="25"/>
  <c r="H164" i="25"/>
  <c r="I164" i="25"/>
  <c r="G164" i="25"/>
  <c r="H152" i="25"/>
  <c r="I152" i="25"/>
  <c r="H153" i="25"/>
  <c r="I153" i="25"/>
  <c r="H154" i="25"/>
  <c r="I154" i="25"/>
  <c r="G153" i="25"/>
  <c r="G154" i="25"/>
  <c r="G152" i="25"/>
  <c r="H149" i="25"/>
  <c r="I149" i="25"/>
  <c r="H150" i="25"/>
  <c r="I150" i="25"/>
  <c r="G150" i="25"/>
  <c r="G149" i="25"/>
  <c r="H145" i="25"/>
  <c r="I145" i="25"/>
  <c r="G145" i="25"/>
  <c r="H143" i="25"/>
  <c r="I143" i="25"/>
  <c r="G143" i="25"/>
  <c r="H142" i="25"/>
  <c r="I142" i="25"/>
  <c r="G142" i="25"/>
  <c r="H138" i="25"/>
  <c r="I138" i="25"/>
  <c r="H140" i="25"/>
  <c r="I140" i="25"/>
  <c r="G139" i="25"/>
  <c r="G140" i="25"/>
  <c r="G138" i="25"/>
  <c r="H133" i="25"/>
  <c r="I133" i="25"/>
  <c r="G133" i="25"/>
  <c r="G129" i="25"/>
  <c r="H124" i="25"/>
  <c r="I124" i="25"/>
  <c r="H127" i="25"/>
  <c r="I127" i="25"/>
  <c r="G125" i="25"/>
  <c r="G126" i="25"/>
  <c r="G127" i="25"/>
  <c r="G124" i="25"/>
  <c r="H120" i="25"/>
  <c r="I120" i="25"/>
  <c r="G120" i="25"/>
  <c r="H118" i="25"/>
  <c r="I118" i="25"/>
  <c r="G118" i="25"/>
  <c r="H115" i="25"/>
  <c r="I115" i="25"/>
  <c r="G115" i="25"/>
  <c r="H111" i="25"/>
  <c r="H110" i="25" s="1"/>
  <c r="I111" i="25"/>
  <c r="I110" i="25" s="1"/>
  <c r="G111" i="25"/>
  <c r="H104" i="25" l="1"/>
  <c r="I104" i="25"/>
  <c r="G104" i="25"/>
  <c r="H101" i="25"/>
  <c r="I101" i="25"/>
  <c r="G101" i="25"/>
  <c r="I96" i="25"/>
  <c r="H96" i="25"/>
  <c r="H94" i="25"/>
  <c r="I94" i="25"/>
  <c r="G94" i="25"/>
  <c r="H92" i="25"/>
  <c r="I92" i="25"/>
  <c r="H63" i="25" l="1"/>
  <c r="H62" i="25" s="1"/>
  <c r="I63" i="25"/>
  <c r="I62" i="25" s="1"/>
  <c r="G63" i="25"/>
  <c r="G62" i="25" s="1"/>
  <c r="H61" i="25"/>
  <c r="H60" i="25" s="1"/>
  <c r="I61" i="25"/>
  <c r="I60" i="25" s="1"/>
  <c r="H57" i="25"/>
  <c r="I57" i="25"/>
  <c r="H59" i="25"/>
  <c r="I59" i="25"/>
  <c r="G59" i="25"/>
  <c r="G57" i="25"/>
  <c r="H55" i="25"/>
  <c r="H54" i="25" s="1"/>
  <c r="I55" i="25"/>
  <c r="I54" i="25" s="1"/>
  <c r="G55" i="25"/>
  <c r="G54" i="25" s="1"/>
  <c r="H53" i="25"/>
  <c r="H52" i="25" s="1"/>
  <c r="I53" i="25"/>
  <c r="I52" i="25" s="1"/>
  <c r="H51" i="25"/>
  <c r="H50" i="25" s="1"/>
  <c r="I51" i="25"/>
  <c r="I50" i="25" s="1"/>
  <c r="H49" i="25"/>
  <c r="H48" i="25" s="1"/>
  <c r="I49" i="25"/>
  <c r="I48" i="25" s="1"/>
  <c r="H47" i="25"/>
  <c r="H46" i="25" s="1"/>
  <c r="I47" i="25"/>
  <c r="I46" i="25" s="1"/>
  <c r="H42" i="25"/>
  <c r="H41" i="25" s="1"/>
  <c r="I42" i="25"/>
  <c r="I41" i="25" s="1"/>
  <c r="G42" i="25"/>
  <c r="G41" i="25" s="1"/>
  <c r="H40" i="25"/>
  <c r="I40" i="25"/>
  <c r="G40" i="25"/>
  <c r="H37" i="25"/>
  <c r="I37" i="25"/>
  <c r="G37" i="25"/>
  <c r="H34" i="25"/>
  <c r="H33" i="25" s="1"/>
  <c r="I34" i="25"/>
  <c r="I33" i="25" s="1"/>
  <c r="G34" i="25"/>
  <c r="G33" i="25" s="1"/>
  <c r="H32" i="25"/>
  <c r="H31" i="25" s="1"/>
  <c r="I32" i="25"/>
  <c r="I31" i="25" s="1"/>
  <c r="G32" i="25"/>
  <c r="G31" i="25" s="1"/>
  <c r="H29" i="25"/>
  <c r="I29" i="25"/>
  <c r="H30" i="25"/>
  <c r="I30" i="25"/>
  <c r="G30" i="25"/>
  <c r="G29" i="25"/>
  <c r="H27" i="25"/>
  <c r="H26" i="25" s="1"/>
  <c r="I27" i="25"/>
  <c r="I26" i="25" s="1"/>
  <c r="G27" i="25"/>
  <c r="G26" i="25" s="1"/>
  <c r="H24" i="25"/>
  <c r="H23" i="25" s="1"/>
  <c r="I24" i="25"/>
  <c r="I23" i="25" s="1"/>
  <c r="G24" i="25"/>
  <c r="G23" i="25" s="1"/>
  <c r="H22" i="25"/>
  <c r="H21" i="25" s="1"/>
  <c r="I22" i="25"/>
  <c r="I21" i="25" s="1"/>
  <c r="H450" i="26"/>
  <c r="H449" i="26" s="1"/>
  <c r="H448" i="26" s="1"/>
  <c r="G450" i="26"/>
  <c r="G449" i="26" s="1"/>
  <c r="G448" i="26" s="1"/>
  <c r="F450" i="26"/>
  <c r="F449" i="26" s="1"/>
  <c r="F448" i="26" s="1"/>
  <c r="H434" i="26"/>
  <c r="G434" i="26"/>
  <c r="F434" i="26"/>
  <c r="H428" i="26"/>
  <c r="G428" i="26"/>
  <c r="F428" i="26"/>
  <c r="H424" i="26"/>
  <c r="G424" i="26"/>
  <c r="H418" i="26"/>
  <c r="G418" i="26"/>
  <c r="F418" i="26"/>
  <c r="H408" i="26"/>
  <c r="G408" i="26"/>
  <c r="F408" i="26"/>
  <c r="H406" i="26"/>
  <c r="G406" i="26"/>
  <c r="F406" i="26"/>
  <c r="H404" i="26"/>
  <c r="G404" i="26"/>
  <c r="F404" i="26"/>
  <c r="H400" i="26"/>
  <c r="G400" i="26"/>
  <c r="F400" i="26"/>
  <c r="H395" i="26"/>
  <c r="G395" i="26"/>
  <c r="F395" i="26"/>
  <c r="H390" i="26"/>
  <c r="G390" i="26"/>
  <c r="F390" i="26"/>
  <c r="H387" i="26"/>
  <c r="G387" i="26"/>
  <c r="F387" i="26"/>
  <c r="G385" i="26"/>
  <c r="F385" i="26"/>
  <c r="H383" i="26"/>
  <c r="G383" i="26"/>
  <c r="F383" i="26"/>
  <c r="H379" i="26"/>
  <c r="G379" i="26"/>
  <c r="F379" i="26"/>
  <c r="H375" i="26"/>
  <c r="G375" i="26"/>
  <c r="F375" i="26"/>
  <c r="H373" i="26"/>
  <c r="G373" i="26"/>
  <c r="F373" i="26"/>
  <c r="H371" i="26"/>
  <c r="G371" i="26"/>
  <c r="H369" i="26"/>
  <c r="G369" i="26"/>
  <c r="F369" i="26"/>
  <c r="H362" i="26"/>
  <c r="G362" i="26"/>
  <c r="F362" i="26"/>
  <c r="H359" i="26"/>
  <c r="G359" i="26"/>
  <c r="F359" i="26"/>
  <c r="H349" i="26"/>
  <c r="G349" i="26"/>
  <c r="F349" i="26"/>
  <c r="H344" i="26"/>
  <c r="G344" i="26"/>
  <c r="F344" i="26"/>
  <c r="H342" i="26"/>
  <c r="G342" i="26"/>
  <c r="F342" i="26"/>
  <c r="H337" i="26"/>
  <c r="G337" i="26"/>
  <c r="F337" i="26"/>
  <c r="H335" i="26"/>
  <c r="G335" i="26"/>
  <c r="F335" i="26"/>
  <c r="H333" i="26"/>
  <c r="G333" i="26"/>
  <c r="H323" i="26"/>
  <c r="G323" i="26"/>
  <c r="F323" i="26"/>
  <c r="H310" i="26"/>
  <c r="H309" i="26" s="1"/>
  <c r="G310" i="26"/>
  <c r="G309" i="26" s="1"/>
  <c r="F310" i="26"/>
  <c r="F309" i="26" s="1"/>
  <c r="H301" i="26"/>
  <c r="H300" i="26" s="1"/>
  <c r="G301" i="26"/>
  <c r="G300" i="26" s="1"/>
  <c r="F301" i="26"/>
  <c r="H295" i="26"/>
  <c r="G295" i="26"/>
  <c r="H290" i="26"/>
  <c r="G290" i="26"/>
  <c r="F290" i="26"/>
  <c r="H288" i="26"/>
  <c r="G288" i="26"/>
  <c r="F288" i="26"/>
  <c r="H279" i="26"/>
  <c r="F279" i="26"/>
  <c r="F277" i="26"/>
  <c r="H274" i="26"/>
  <c r="G274" i="26"/>
  <c r="F274" i="26"/>
  <c r="H270" i="26"/>
  <c r="G270" i="26"/>
  <c r="F270" i="26"/>
  <c r="H267" i="26"/>
  <c r="G267" i="26"/>
  <c r="F267" i="26"/>
  <c r="G264" i="26"/>
  <c r="H264" i="26"/>
  <c r="F264" i="26"/>
  <c r="H262" i="26"/>
  <c r="G262" i="26"/>
  <c r="F262" i="26"/>
  <c r="H246" i="26"/>
  <c r="G246" i="26"/>
  <c r="F246" i="26"/>
  <c r="F245" i="26" s="1"/>
  <c r="H238" i="26"/>
  <c r="G238" i="26"/>
  <c r="H232" i="26"/>
  <c r="G232" i="26"/>
  <c r="F232" i="26"/>
  <c r="H229" i="26"/>
  <c r="G229" i="26"/>
  <c r="F229" i="26"/>
  <c r="F220" i="26"/>
  <c r="F218" i="26"/>
  <c r="H216" i="26"/>
  <c r="G216" i="26"/>
  <c r="F216" i="26"/>
  <c r="F197" i="26"/>
  <c r="H186" i="26"/>
  <c r="G186" i="26"/>
  <c r="H183" i="26"/>
  <c r="G183" i="26"/>
  <c r="F183" i="26"/>
  <c r="H180" i="26"/>
  <c r="G180" i="26"/>
  <c r="F180" i="26"/>
  <c r="H176" i="26"/>
  <c r="G176" i="26"/>
  <c r="F176" i="26"/>
  <c r="H174" i="26"/>
  <c r="G174" i="26"/>
  <c r="F174" i="26"/>
  <c r="H172" i="26"/>
  <c r="G172" i="26"/>
  <c r="F172" i="26"/>
  <c r="H169" i="26"/>
  <c r="H162" i="26"/>
  <c r="G162" i="26"/>
  <c r="F162" i="26"/>
  <c r="H160" i="26"/>
  <c r="G160" i="26"/>
  <c r="F160" i="26"/>
  <c r="H158" i="26"/>
  <c r="G158" i="26"/>
  <c r="H156" i="26"/>
  <c r="G156" i="26"/>
  <c r="F156" i="26"/>
  <c r="H152" i="26"/>
  <c r="H151" i="26" s="1"/>
  <c r="G152" i="26"/>
  <c r="H149" i="26"/>
  <c r="G149" i="26"/>
  <c r="F149" i="26"/>
  <c r="H147" i="26"/>
  <c r="G147" i="26"/>
  <c r="F147" i="26"/>
  <c r="F139" i="26"/>
  <c r="H123" i="26"/>
  <c r="G123" i="26"/>
  <c r="H121" i="26"/>
  <c r="G121" i="26"/>
  <c r="H117" i="26"/>
  <c r="G117" i="26"/>
  <c r="F117" i="26"/>
  <c r="H112" i="26"/>
  <c r="G112" i="26"/>
  <c r="F112" i="26"/>
  <c r="H110" i="26"/>
  <c r="G110" i="26"/>
  <c r="H108" i="26"/>
  <c r="G108" i="26"/>
  <c r="F108" i="26"/>
  <c r="H106" i="26"/>
  <c r="G106" i="26"/>
  <c r="F106" i="26"/>
  <c r="H82" i="26"/>
  <c r="G82" i="26"/>
  <c r="H76" i="26"/>
  <c r="G76" i="26"/>
  <c r="F76" i="26"/>
  <c r="H74" i="26"/>
  <c r="G74" i="26"/>
  <c r="H72" i="26"/>
  <c r="G72" i="26"/>
  <c r="H70" i="26"/>
  <c r="G70" i="26"/>
  <c r="F70" i="26"/>
  <c r="H68" i="26"/>
  <c r="F68" i="26"/>
  <c r="G68" i="26"/>
  <c r="H66" i="26"/>
  <c r="G66" i="26"/>
  <c r="F66" i="26"/>
  <c r="H64" i="26"/>
  <c r="G64" i="26"/>
  <c r="H62" i="26"/>
  <c r="G62" i="26"/>
  <c r="F62" i="26"/>
  <c r="H60" i="26"/>
  <c r="G60" i="26"/>
  <c r="F60" i="26"/>
  <c r="H51" i="26"/>
  <c r="H50" i="26" s="1"/>
  <c r="G51" i="26"/>
  <c r="G50" i="26" s="1"/>
  <c r="F51" i="26"/>
  <c r="F50" i="26" s="1"/>
  <c r="H41" i="26"/>
  <c r="H40" i="26" s="1"/>
  <c r="G41" i="26"/>
  <c r="G40" i="26" s="1"/>
  <c r="F41" i="26"/>
  <c r="F40" i="26" s="1"/>
  <c r="H35" i="26"/>
  <c r="G35" i="26"/>
  <c r="F35" i="26"/>
  <c r="H22" i="26"/>
  <c r="G22" i="26"/>
  <c r="H15" i="26"/>
  <c r="G15" i="26"/>
  <c r="H91" i="25"/>
  <c r="I91" i="25"/>
  <c r="G93" i="25"/>
  <c r="H93" i="25"/>
  <c r="I93" i="25"/>
  <c r="H95" i="25"/>
  <c r="I95" i="25"/>
  <c r="G100" i="25"/>
  <c r="G99" i="25" s="1"/>
  <c r="H100" i="25"/>
  <c r="H99" i="25" s="1"/>
  <c r="I100" i="25"/>
  <c r="I99" i="25" s="1"/>
  <c r="G103" i="25"/>
  <c r="G102" i="25" s="1"/>
  <c r="G114" i="25"/>
  <c r="H114" i="25"/>
  <c r="H107" i="25" s="1"/>
  <c r="I114" i="25"/>
  <c r="I107" i="25" s="1"/>
  <c r="G117" i="25"/>
  <c r="H117" i="25"/>
  <c r="I117" i="25"/>
  <c r="G119" i="25"/>
  <c r="H119" i="25"/>
  <c r="I119" i="25"/>
  <c r="G123" i="25"/>
  <c r="G128" i="25"/>
  <c r="G137" i="25"/>
  <c r="G141" i="25"/>
  <c r="I141" i="25"/>
  <c r="H141" i="25"/>
  <c r="G144" i="25"/>
  <c r="H144" i="25"/>
  <c r="I144" i="25"/>
  <c r="G148" i="25"/>
  <c r="H148" i="25"/>
  <c r="I148" i="25"/>
  <c r="G151" i="25"/>
  <c r="H151" i="25"/>
  <c r="I151" i="25"/>
  <c r="G169" i="25"/>
  <c r="H169" i="25"/>
  <c r="I169" i="25"/>
  <c r="H178" i="25"/>
  <c r="I178" i="25"/>
  <c r="H181" i="25"/>
  <c r="I181" i="25"/>
  <c r="H183" i="25"/>
  <c r="I183" i="25"/>
  <c r="H185" i="25"/>
  <c r="I185" i="25"/>
  <c r="H189" i="25"/>
  <c r="I189" i="25"/>
  <c r="H195" i="25"/>
  <c r="I195" i="25"/>
  <c r="H197" i="25"/>
  <c r="I197" i="25"/>
  <c r="H199" i="25"/>
  <c r="I199" i="25"/>
  <c r="H204" i="25"/>
  <c r="I204" i="25"/>
  <c r="H208" i="25"/>
  <c r="I208" i="25"/>
  <c r="H210" i="25"/>
  <c r="H212" i="25"/>
  <c r="I212" i="25"/>
  <c r="H219" i="25"/>
  <c r="I219" i="25"/>
  <c r="I224" i="25"/>
  <c r="H233" i="25"/>
  <c r="I233" i="25"/>
  <c r="H238" i="25"/>
  <c r="I238" i="25"/>
  <c r="H243" i="25"/>
  <c r="I243" i="25"/>
  <c r="H257" i="25"/>
  <c r="I257" i="25"/>
  <c r="H259" i="25"/>
  <c r="I259" i="25"/>
  <c r="H261" i="25"/>
  <c r="I261" i="25"/>
  <c r="H264" i="25"/>
  <c r="H263" i="25" s="1"/>
  <c r="I264" i="25"/>
  <c r="I263" i="25" s="1"/>
  <c r="H289" i="25"/>
  <c r="I289" i="25"/>
  <c r="H301" i="25"/>
  <c r="I301" i="25"/>
  <c r="H303" i="25"/>
  <c r="I303" i="25"/>
  <c r="H306" i="25"/>
  <c r="I306" i="25"/>
  <c r="H315" i="25"/>
  <c r="I315" i="25"/>
  <c r="H328" i="25"/>
  <c r="I328" i="25"/>
  <c r="H336" i="25"/>
  <c r="I336" i="25"/>
  <c r="H338" i="25"/>
  <c r="H335" i="25" s="1"/>
  <c r="I338" i="25"/>
  <c r="H343" i="25"/>
  <c r="I343" i="25"/>
  <c r="H345" i="25"/>
  <c r="I345" i="25"/>
  <c r="H347" i="25"/>
  <c r="I347" i="25"/>
  <c r="H354" i="25"/>
  <c r="H353" i="25" s="1"/>
  <c r="I354" i="25"/>
  <c r="I353" i="25" s="1"/>
  <c r="H359" i="25"/>
  <c r="I359" i="25"/>
  <c r="H361" i="25"/>
  <c r="I361" i="25"/>
  <c r="H363" i="25"/>
  <c r="I363" i="25"/>
  <c r="H366" i="25"/>
  <c r="I366" i="25"/>
  <c r="H368" i="25"/>
  <c r="I368" i="25"/>
  <c r="H371" i="25"/>
  <c r="H370" i="25" s="1"/>
  <c r="I371" i="25"/>
  <c r="I370" i="25" s="1"/>
  <c r="H374" i="25"/>
  <c r="H373" i="25" s="1"/>
  <c r="I374" i="25"/>
  <c r="I373" i="25" s="1"/>
  <c r="H380" i="25"/>
  <c r="H379" i="25" s="1"/>
  <c r="I380" i="25"/>
  <c r="I379" i="25" s="1"/>
  <c r="H383" i="25"/>
  <c r="H382" i="25" s="1"/>
  <c r="I383" i="25"/>
  <c r="I382" i="25" s="1"/>
  <c r="H386" i="25"/>
  <c r="H385" i="25" s="1"/>
  <c r="I386" i="25"/>
  <c r="I385" i="25" s="1"/>
  <c r="H392" i="25"/>
  <c r="H391" i="25" s="1"/>
  <c r="I392" i="25"/>
  <c r="I391" i="25" s="1"/>
  <c r="I398" i="25"/>
  <c r="I397" i="25" s="1"/>
  <c r="I396" i="25" s="1"/>
  <c r="H426" i="25"/>
  <c r="I426" i="25"/>
  <c r="I335" i="25" l="1"/>
  <c r="G151" i="26"/>
  <c r="H342" i="25"/>
  <c r="I342" i="25"/>
  <c r="I334" i="25" s="1"/>
  <c r="I251" i="25"/>
  <c r="H251" i="25"/>
  <c r="H56" i="25"/>
  <c r="I56" i="25"/>
  <c r="H168" i="26"/>
  <c r="H182" i="26"/>
  <c r="G182" i="26"/>
  <c r="G105" i="26"/>
  <c r="G116" i="26"/>
  <c r="F138" i="26"/>
  <c r="H105" i="26"/>
  <c r="H116" i="26"/>
  <c r="G138" i="26"/>
  <c r="H138" i="26"/>
  <c r="G56" i="25"/>
  <c r="G14" i="26"/>
  <c r="H28" i="25"/>
  <c r="G28" i="25"/>
  <c r="I365" i="25"/>
  <c r="I310" i="25"/>
  <c r="H116" i="25"/>
  <c r="H14" i="26"/>
  <c r="I116" i="25"/>
  <c r="H310" i="25"/>
  <c r="I28" i="25"/>
  <c r="G116" i="25"/>
  <c r="H365" i="25"/>
  <c r="I358" i="25"/>
  <c r="I20" i="25"/>
  <c r="H20" i="25"/>
  <c r="H358" i="25"/>
  <c r="H357" i="25" s="1"/>
  <c r="H334" i="25" l="1"/>
  <c r="I357" i="25"/>
  <c r="H137" i="26"/>
  <c r="G104" i="26"/>
  <c r="H104" i="26"/>
  <c r="F83" i="26" l="1"/>
  <c r="F82" i="26" s="1"/>
  <c r="G61" i="25"/>
  <c r="G60" i="25" s="1"/>
  <c r="F73" i="26"/>
  <c r="F72" i="26" s="1"/>
  <c r="G51" i="25"/>
  <c r="G50" i="25" s="1"/>
  <c r="F75" i="26"/>
  <c r="F74" i="26" s="1"/>
  <c r="G53" i="25"/>
  <c r="G52" i="25" s="1"/>
  <c r="F124" i="26"/>
  <c r="F123" i="26" s="1"/>
  <c r="G49" i="25"/>
  <c r="G48" i="25" s="1"/>
  <c r="J451" i="23"/>
  <c r="K451" i="23"/>
  <c r="L451" i="23"/>
  <c r="M451" i="23"/>
  <c r="N451" i="23"/>
  <c r="O451" i="23"/>
  <c r="P451" i="23"/>
  <c r="Q451" i="23"/>
  <c r="J445" i="23"/>
  <c r="K445" i="23"/>
  <c r="L445" i="23"/>
  <c r="M445" i="23"/>
  <c r="N445" i="23"/>
  <c r="O445" i="23"/>
  <c r="P445" i="23"/>
  <c r="Q445" i="23"/>
  <c r="H262" i="23"/>
  <c r="I262" i="23"/>
  <c r="G262" i="23"/>
  <c r="H260" i="23"/>
  <c r="I260" i="23"/>
  <c r="G260" i="23"/>
  <c r="H73" i="23"/>
  <c r="H72" i="23" s="1"/>
  <c r="H71" i="23" s="1"/>
  <c r="I73" i="23"/>
  <c r="I72" i="23" s="1"/>
  <c r="I71" i="23" s="1"/>
  <c r="H97" i="23"/>
  <c r="I97" i="23"/>
  <c r="H99" i="23"/>
  <c r="I99" i="23"/>
  <c r="H122" i="23"/>
  <c r="I122" i="23"/>
  <c r="H167" i="23"/>
  <c r="H166" i="23" s="1"/>
  <c r="H165" i="23" s="1"/>
  <c r="I167" i="23"/>
  <c r="I166" i="23" s="1"/>
  <c r="I165" i="23" s="1"/>
  <c r="H354" i="23"/>
  <c r="I354" i="23"/>
  <c r="H431" i="23"/>
  <c r="I431" i="23"/>
  <c r="H433" i="23"/>
  <c r="I433" i="23"/>
  <c r="H443" i="23"/>
  <c r="I443" i="23"/>
  <c r="H452" i="23"/>
  <c r="I452" i="23"/>
  <c r="H454" i="23"/>
  <c r="I454" i="23"/>
  <c r="I458" i="23"/>
  <c r="H464" i="23"/>
  <c r="H463" i="23" s="1"/>
  <c r="I464" i="23"/>
  <c r="I463" i="23" s="1"/>
  <c r="H473" i="23"/>
  <c r="I473" i="23"/>
  <c r="H475" i="23"/>
  <c r="I475" i="23"/>
  <c r="H477" i="23"/>
  <c r="I477" i="23"/>
  <c r="H479" i="23"/>
  <c r="I479" i="23"/>
  <c r="H489" i="23"/>
  <c r="I489" i="23"/>
  <c r="H491" i="23"/>
  <c r="I491" i="23"/>
  <c r="H493" i="23"/>
  <c r="I493" i="23"/>
  <c r="H497" i="23"/>
  <c r="I497" i="23"/>
  <c r="H507" i="23"/>
  <c r="I507" i="23"/>
  <c r="H509" i="23"/>
  <c r="I509" i="23"/>
  <c r="H511" i="23"/>
  <c r="I511" i="23"/>
  <c r="I506" i="23" l="1"/>
  <c r="I505" i="23" s="1"/>
  <c r="H506" i="23"/>
  <c r="H505" i="23" s="1"/>
  <c r="F239" i="26"/>
  <c r="F238" i="26" s="1"/>
  <c r="F242" i="26"/>
  <c r="F240" i="26" s="1"/>
  <c r="G134" i="25"/>
  <c r="G132" i="25" s="1"/>
  <c r="F306" i="26"/>
  <c r="F305" i="26" s="1"/>
  <c r="F299" i="26"/>
  <c r="F297" i="26" s="1"/>
  <c r="G294" i="26"/>
  <c r="G292" i="26" s="1"/>
  <c r="H237" i="25"/>
  <c r="H235" i="25" s="1"/>
  <c r="F294" i="26"/>
  <c r="F292" i="26" s="1"/>
  <c r="H294" i="26"/>
  <c r="H292" i="26" s="1"/>
  <c r="I237" i="25"/>
  <c r="I235" i="25" s="1"/>
  <c r="F296" i="26"/>
  <c r="F295" i="26" s="1"/>
  <c r="F300" i="26" l="1"/>
  <c r="F16" i="26"/>
  <c r="F15" i="26" s="1"/>
  <c r="F20" i="26" l="1"/>
  <c r="F19" i="26" s="1"/>
  <c r="F49" i="26"/>
  <c r="F48" i="26" s="1"/>
  <c r="F23" i="26"/>
  <c r="F22" i="26" s="1"/>
  <c r="F45" i="26"/>
  <c r="F14" i="26" l="1"/>
  <c r="F65" i="26"/>
  <c r="F64" i="26" s="1"/>
  <c r="G22" i="25"/>
  <c r="G21" i="25" s="1"/>
  <c r="G20" i="25" s="1"/>
  <c r="F187" i="26"/>
  <c r="F186" i="26" s="1"/>
  <c r="F182" i="26" s="1"/>
  <c r="F38" i="26"/>
  <c r="G18" i="25"/>
  <c r="F90" i="26"/>
  <c r="G81" i="25"/>
  <c r="H219" i="26" l="1"/>
  <c r="H218" i="26" s="1"/>
  <c r="I129" i="25"/>
  <c r="I128" i="25" s="1"/>
  <c r="H455" i="26"/>
  <c r="H454" i="26" s="1"/>
  <c r="H453" i="26" s="1"/>
  <c r="H452" i="26" s="1"/>
  <c r="I431" i="25"/>
  <c r="I430" i="25" s="1"/>
  <c r="I429" i="25" s="1"/>
  <c r="I428" i="25" s="1"/>
  <c r="I414" i="25" s="1"/>
  <c r="F425" i="26" l="1"/>
  <c r="F424" i="26" s="1"/>
  <c r="G110" i="25" l="1"/>
  <c r="G107" i="25" s="1"/>
  <c r="F122" i="26"/>
  <c r="F121" i="26" s="1"/>
  <c r="F116" i="26" s="1"/>
  <c r="G47" i="25"/>
  <c r="G46" i="25" s="1"/>
  <c r="I516" i="23"/>
  <c r="H516" i="23"/>
  <c r="G516" i="23"/>
  <c r="G511" i="23"/>
  <c r="G509" i="23"/>
  <c r="G507" i="23"/>
  <c r="I503" i="23"/>
  <c r="H503" i="23"/>
  <c r="G503" i="23"/>
  <c r="I500" i="23"/>
  <c r="H500" i="23"/>
  <c r="G500" i="23"/>
  <c r="G497" i="23"/>
  <c r="G493" i="23"/>
  <c r="G491" i="23"/>
  <c r="G489" i="23"/>
  <c r="I486" i="23"/>
  <c r="I485" i="23" s="1"/>
  <c r="G479" i="23"/>
  <c r="G477" i="23"/>
  <c r="G473" i="23"/>
  <c r="I469" i="23"/>
  <c r="I468" i="23" s="1"/>
  <c r="H469" i="23"/>
  <c r="H468" i="23" s="1"/>
  <c r="G464" i="23"/>
  <c r="G463" i="23" s="1"/>
  <c r="G458" i="23"/>
  <c r="I456" i="23"/>
  <c r="I451" i="23" s="1"/>
  <c r="I450" i="23" s="1"/>
  <c r="H456" i="23"/>
  <c r="H451" i="23" s="1"/>
  <c r="H450" i="23" s="1"/>
  <c r="G454" i="23"/>
  <c r="G452" i="23"/>
  <c r="G443" i="23"/>
  <c r="G433" i="23"/>
  <c r="G431" i="23"/>
  <c r="I424" i="23"/>
  <c r="I421" i="23" s="1"/>
  <c r="H424" i="23"/>
  <c r="H421" i="23" s="1"/>
  <c r="G424" i="23"/>
  <c r="G421" i="23" s="1"/>
  <c r="I417" i="23"/>
  <c r="H417" i="23"/>
  <c r="G417" i="23"/>
  <c r="I414" i="23"/>
  <c r="H414" i="23"/>
  <c r="G414" i="23"/>
  <c r="I401" i="23"/>
  <c r="H401" i="23"/>
  <c r="G401" i="23"/>
  <c r="Q394" i="23"/>
  <c r="P394" i="23"/>
  <c r="O394" i="23"/>
  <c r="N394" i="23"/>
  <c r="M394" i="23"/>
  <c r="L394" i="23"/>
  <c r="K394" i="23"/>
  <c r="J394" i="23"/>
  <c r="I388" i="23"/>
  <c r="I387" i="23" s="1"/>
  <c r="H388" i="23"/>
  <c r="H387" i="23" s="1"/>
  <c r="G388" i="23"/>
  <c r="G387" i="23" s="1"/>
  <c r="I384" i="23"/>
  <c r="H384" i="23"/>
  <c r="G384" i="23"/>
  <c r="I376" i="23"/>
  <c r="I375" i="23" s="1"/>
  <c r="I374" i="23" s="1"/>
  <c r="H376" i="23"/>
  <c r="H375" i="23" s="1"/>
  <c r="H374" i="23" s="1"/>
  <c r="G376" i="23"/>
  <c r="G375" i="23" s="1"/>
  <c r="G374" i="23" s="1"/>
  <c r="I367" i="23"/>
  <c r="I366" i="23" s="1"/>
  <c r="H367" i="23"/>
  <c r="H366" i="23" s="1"/>
  <c r="G367" i="23"/>
  <c r="G363" i="23"/>
  <c r="I361" i="23"/>
  <c r="H361" i="23"/>
  <c r="G361" i="23"/>
  <c r="I358" i="23"/>
  <c r="H358" i="23"/>
  <c r="G358" i="23"/>
  <c r="I356" i="23"/>
  <c r="H356" i="23"/>
  <c r="G356" i="23"/>
  <c r="G354" i="23"/>
  <c r="Q351" i="23"/>
  <c r="P351" i="23"/>
  <c r="O351" i="23"/>
  <c r="N351" i="23"/>
  <c r="M351" i="23"/>
  <c r="L351" i="23"/>
  <c r="K351" i="23"/>
  <c r="J351" i="23"/>
  <c r="I348" i="23"/>
  <c r="I347" i="23" s="1"/>
  <c r="H348" i="23"/>
  <c r="H347" i="23" s="1"/>
  <c r="G348" i="23"/>
  <c r="G347" i="23" s="1"/>
  <c r="G344" i="23"/>
  <c r="I342" i="23"/>
  <c r="H342" i="23"/>
  <c r="G342" i="23"/>
  <c r="I340" i="23"/>
  <c r="H340" i="23"/>
  <c r="G340" i="23"/>
  <c r="I316" i="23"/>
  <c r="H316" i="23"/>
  <c r="G316" i="23"/>
  <c r="H314" i="23"/>
  <c r="G314" i="23"/>
  <c r="I312" i="23"/>
  <c r="H312" i="23"/>
  <c r="G312" i="23"/>
  <c r="I308" i="23"/>
  <c r="H308" i="23"/>
  <c r="G308" i="23"/>
  <c r="I304" i="23"/>
  <c r="H304" i="23"/>
  <c r="G304" i="23"/>
  <c r="I302" i="23"/>
  <c r="H302" i="23"/>
  <c r="G302" i="23"/>
  <c r="I299" i="23"/>
  <c r="H299" i="23"/>
  <c r="G299" i="23"/>
  <c r="I297" i="23"/>
  <c r="H297" i="23"/>
  <c r="G297" i="23"/>
  <c r="I294" i="23"/>
  <c r="I292" i="23"/>
  <c r="H292" i="23"/>
  <c r="G292" i="23"/>
  <c r="I290" i="23"/>
  <c r="H290" i="23"/>
  <c r="G290" i="23"/>
  <c r="I280" i="23"/>
  <c r="G280" i="23"/>
  <c r="G278" i="23"/>
  <c r="I275" i="23"/>
  <c r="H275" i="23"/>
  <c r="G275" i="23"/>
  <c r="I268" i="23"/>
  <c r="H268" i="23"/>
  <c r="G268" i="23"/>
  <c r="I265" i="23"/>
  <c r="H265" i="23"/>
  <c r="G265" i="23"/>
  <c r="I250" i="23"/>
  <c r="H250" i="23"/>
  <c r="G250" i="23"/>
  <c r="I244" i="23"/>
  <c r="H244" i="23"/>
  <c r="G244" i="23"/>
  <c r="I241" i="23"/>
  <c r="H241" i="23"/>
  <c r="G241" i="23"/>
  <c r="G232" i="23"/>
  <c r="I230" i="23"/>
  <c r="G230" i="23"/>
  <c r="I228" i="23"/>
  <c r="H228" i="23"/>
  <c r="G228" i="23"/>
  <c r="H205" i="26"/>
  <c r="G205" i="26"/>
  <c r="F205" i="26"/>
  <c r="H204" i="26"/>
  <c r="G204" i="26"/>
  <c r="F204" i="26"/>
  <c r="H192" i="26"/>
  <c r="G192" i="26"/>
  <c r="F192" i="26"/>
  <c r="I197" i="23"/>
  <c r="I196" i="23" s="1"/>
  <c r="H197" i="23"/>
  <c r="H196" i="23" s="1"/>
  <c r="G197" i="23"/>
  <c r="G196" i="23" s="1"/>
  <c r="I194" i="23"/>
  <c r="H194" i="23"/>
  <c r="G194" i="23"/>
  <c r="I187" i="23"/>
  <c r="H187" i="23"/>
  <c r="G187" i="23"/>
  <c r="G182" i="23"/>
  <c r="I173" i="23"/>
  <c r="H173" i="23"/>
  <c r="I171" i="23"/>
  <c r="H171" i="23"/>
  <c r="G171" i="23"/>
  <c r="G167" i="23"/>
  <c r="G166" i="23" s="1"/>
  <c r="G165" i="23" s="1"/>
  <c r="I163" i="23"/>
  <c r="H163" i="23"/>
  <c r="G163" i="23"/>
  <c r="I161" i="23"/>
  <c r="H161" i="23"/>
  <c r="G161" i="23"/>
  <c r="I152" i="23"/>
  <c r="H152" i="23"/>
  <c r="G152" i="23"/>
  <c r="I149" i="23"/>
  <c r="H149" i="23"/>
  <c r="G149" i="23"/>
  <c r="I147" i="23"/>
  <c r="H147" i="23"/>
  <c r="G147" i="23"/>
  <c r="I145" i="23"/>
  <c r="H145" i="23"/>
  <c r="G145" i="23"/>
  <c r="I143" i="23"/>
  <c r="H143" i="23"/>
  <c r="G143" i="23"/>
  <c r="I130" i="23"/>
  <c r="H130" i="23"/>
  <c r="G130" i="23"/>
  <c r="I126" i="23"/>
  <c r="H126" i="23"/>
  <c r="G126" i="23"/>
  <c r="G122" i="23"/>
  <c r="I115" i="23"/>
  <c r="I114" i="23" s="1"/>
  <c r="I113" i="23" s="1"/>
  <c r="I111" i="23"/>
  <c r="I110" i="23" s="1"/>
  <c r="I109" i="23" s="1"/>
  <c r="H111" i="23"/>
  <c r="H110" i="23" s="1"/>
  <c r="H109" i="23" s="1"/>
  <c r="G111" i="23"/>
  <c r="G110" i="23" s="1"/>
  <c r="G109" i="23" s="1"/>
  <c r="I102" i="23"/>
  <c r="I101" i="23" s="1"/>
  <c r="H102" i="23"/>
  <c r="H101" i="23" s="1"/>
  <c r="G102" i="23"/>
  <c r="G101" i="23" s="1"/>
  <c r="G99" i="23"/>
  <c r="G97" i="23"/>
  <c r="I95" i="23"/>
  <c r="H95" i="23"/>
  <c r="I87" i="23"/>
  <c r="I86" i="23" s="1"/>
  <c r="I85" i="23" s="1"/>
  <c r="H87" i="23"/>
  <c r="H86" i="23" s="1"/>
  <c r="H85" i="23" s="1"/>
  <c r="G87" i="23"/>
  <c r="G86" i="23" s="1"/>
  <c r="G85" i="23" s="1"/>
  <c r="G79" i="23"/>
  <c r="G78" i="23" s="1"/>
  <c r="G73" i="23"/>
  <c r="G72" i="23" s="1"/>
  <c r="G71" i="23" s="1"/>
  <c r="Q59" i="23"/>
  <c r="Q37" i="23" s="1"/>
  <c r="P59" i="23"/>
  <c r="P37" i="23" s="1"/>
  <c r="O59" i="23"/>
  <c r="O37" i="23" s="1"/>
  <c r="N59" i="23"/>
  <c r="N37" i="23" s="1"/>
  <c r="M59" i="23"/>
  <c r="M37" i="23" s="1"/>
  <c r="L59" i="23"/>
  <c r="L37" i="23" s="1"/>
  <c r="K59" i="23"/>
  <c r="K37" i="23" s="1"/>
  <c r="J59" i="23"/>
  <c r="J37" i="23" s="1"/>
  <c r="I59" i="23"/>
  <c r="H59" i="23"/>
  <c r="G59" i="23"/>
  <c r="I52" i="23"/>
  <c r="H52" i="23"/>
  <c r="G52" i="23"/>
  <c r="I50" i="23"/>
  <c r="H50" i="23"/>
  <c r="G50" i="23"/>
  <c r="I48" i="23"/>
  <c r="H48" i="23"/>
  <c r="G48" i="23"/>
  <c r="G74" i="25"/>
  <c r="I40" i="23"/>
  <c r="H40" i="23"/>
  <c r="G40" i="23"/>
  <c r="I38" i="23"/>
  <c r="H38" i="23"/>
  <c r="G38" i="23"/>
  <c r="I35" i="23"/>
  <c r="I34" i="23" s="1"/>
  <c r="H35" i="23"/>
  <c r="H34" i="23" s="1"/>
  <c r="G35" i="23"/>
  <c r="G34" i="23" s="1"/>
  <c r="I32" i="23"/>
  <c r="I31" i="23" s="1"/>
  <c r="H32" i="23"/>
  <c r="H31" i="23" s="1"/>
  <c r="G32" i="23"/>
  <c r="G31" i="23" s="1"/>
  <c r="I26" i="23"/>
  <c r="H26" i="23"/>
  <c r="G26" i="23"/>
  <c r="G499" i="23" l="1"/>
  <c r="I403" i="23"/>
  <c r="G403" i="23"/>
  <c r="H403" i="23"/>
  <c r="H499" i="23"/>
  <c r="I499" i="23"/>
  <c r="I462" i="23" s="1"/>
  <c r="I445" i="23" s="1"/>
  <c r="G506" i="23"/>
  <c r="G505" i="23" s="1"/>
  <c r="G203" i="26"/>
  <c r="H203" i="26"/>
  <c r="I216" i="25"/>
  <c r="I215" i="25" s="1"/>
  <c r="H251" i="26"/>
  <c r="H250" i="26" s="1"/>
  <c r="H245" i="26" s="1"/>
  <c r="G251" i="26"/>
  <c r="G250" i="26" s="1"/>
  <c r="G245" i="26" s="1"/>
  <c r="H216" i="25"/>
  <c r="H215" i="25" s="1"/>
  <c r="I74" i="25"/>
  <c r="I72" i="25" s="1"/>
  <c r="I71" i="25" s="1"/>
  <c r="G77" i="23"/>
  <c r="H74" i="25"/>
  <c r="H72" i="25" s="1"/>
  <c r="H71" i="25" s="1"/>
  <c r="F203" i="26"/>
  <c r="G16" i="23"/>
  <c r="F26" i="26"/>
  <c r="F25" i="26" s="1"/>
  <c r="G36" i="25"/>
  <c r="G35" i="25" s="1"/>
  <c r="H32" i="26"/>
  <c r="I14" i="25"/>
  <c r="I44" i="23"/>
  <c r="H57" i="26"/>
  <c r="H56" i="26" s="1"/>
  <c r="G91" i="26"/>
  <c r="H82" i="25"/>
  <c r="H93" i="23"/>
  <c r="G332" i="26"/>
  <c r="G331" i="26" s="1"/>
  <c r="H90" i="25"/>
  <c r="H89" i="25" s="1"/>
  <c r="H120" i="23"/>
  <c r="G423" i="26"/>
  <c r="G422" i="26" s="1"/>
  <c r="H441" i="26"/>
  <c r="I322" i="25"/>
  <c r="F194" i="26"/>
  <c r="G158" i="25"/>
  <c r="H200" i="26"/>
  <c r="I126" i="25"/>
  <c r="H210" i="26"/>
  <c r="I163" i="25"/>
  <c r="G215" i="26"/>
  <c r="H168" i="25"/>
  <c r="F340" i="26"/>
  <c r="I352" i="23"/>
  <c r="H287" i="26"/>
  <c r="H286" i="26" s="1"/>
  <c r="H363" i="23"/>
  <c r="G299" i="26"/>
  <c r="G297" i="26" s="1"/>
  <c r="H242" i="25"/>
  <c r="H240" i="25" s="1"/>
  <c r="H232" i="25" s="1"/>
  <c r="G317" i="26"/>
  <c r="H276" i="25"/>
  <c r="H318" i="26"/>
  <c r="I277" i="25"/>
  <c r="F352" i="26"/>
  <c r="F351" i="26" s="1"/>
  <c r="H354" i="26"/>
  <c r="H353" i="26" s="1"/>
  <c r="I296" i="25"/>
  <c r="I295" i="25" s="1"/>
  <c r="F356" i="26"/>
  <c r="H327" i="26"/>
  <c r="H326" i="26" s="1"/>
  <c r="I287" i="25"/>
  <c r="I286" i="25" s="1"/>
  <c r="I283" i="25" s="1"/>
  <c r="F358" i="26"/>
  <c r="F357" i="26" s="1"/>
  <c r="F415" i="26"/>
  <c r="F414" i="26" s="1"/>
  <c r="G171" i="26"/>
  <c r="H400" i="25"/>
  <c r="F179" i="26"/>
  <c r="F178" i="26" s="1"/>
  <c r="F13" i="26"/>
  <c r="F12" i="26" s="1"/>
  <c r="F11" i="26" s="1"/>
  <c r="G12" i="25"/>
  <c r="G11" i="25" s="1"/>
  <c r="G13" i="23"/>
  <c r="G12" i="23" s="1"/>
  <c r="H16" i="23"/>
  <c r="G26" i="26"/>
  <c r="G25" i="26" s="1"/>
  <c r="H36" i="25"/>
  <c r="H35" i="25" s="1"/>
  <c r="I19" i="23"/>
  <c r="H29" i="26"/>
  <c r="H28" i="26" s="1"/>
  <c r="I39" i="25"/>
  <c r="I38" i="25" s="1"/>
  <c r="F33" i="26"/>
  <c r="G15" i="25"/>
  <c r="G34" i="26"/>
  <c r="H16" i="25"/>
  <c r="G39" i="26"/>
  <c r="H19" i="25"/>
  <c r="I42" i="23"/>
  <c r="H55" i="26"/>
  <c r="H54" i="26" s="1"/>
  <c r="I390" i="25"/>
  <c r="I389" i="25" s="1"/>
  <c r="I388" i="25" s="1"/>
  <c r="G90" i="26"/>
  <c r="H81" i="25"/>
  <c r="H91" i="26"/>
  <c r="I82" i="25"/>
  <c r="I91" i="23"/>
  <c r="H330" i="26"/>
  <c r="H329" i="26" s="1"/>
  <c r="I88" i="25"/>
  <c r="I87" i="25" s="1"/>
  <c r="I93" i="23"/>
  <c r="H332" i="26"/>
  <c r="H331" i="26" s="1"/>
  <c r="I90" i="25"/>
  <c r="I89" i="25" s="1"/>
  <c r="I120" i="23"/>
  <c r="H423" i="26"/>
  <c r="H422" i="26" s="1"/>
  <c r="I124" i="23"/>
  <c r="H427" i="26"/>
  <c r="H426" i="26" s="1"/>
  <c r="I319" i="25"/>
  <c r="I318" i="25" s="1"/>
  <c r="G128" i="23"/>
  <c r="F431" i="26"/>
  <c r="F430" i="26" s="1"/>
  <c r="H440" i="26"/>
  <c r="I321" i="25"/>
  <c r="G138" i="23"/>
  <c r="F443" i="26"/>
  <c r="F442" i="26" s="1"/>
  <c r="F88" i="26"/>
  <c r="G66" i="25"/>
  <c r="G45" i="26"/>
  <c r="H46" i="26"/>
  <c r="F191" i="26"/>
  <c r="F190" i="26" s="1"/>
  <c r="G72" i="25"/>
  <c r="G71" i="25" s="1"/>
  <c r="G194" i="26"/>
  <c r="H158" i="25"/>
  <c r="H195" i="26"/>
  <c r="I159" i="25"/>
  <c r="G199" i="26"/>
  <c r="H125" i="25"/>
  <c r="H209" i="26"/>
  <c r="I162" i="25"/>
  <c r="F213" i="26"/>
  <c r="G166" i="25"/>
  <c r="G214" i="26"/>
  <c r="H167" i="25"/>
  <c r="H215" i="26"/>
  <c r="I168" i="25"/>
  <c r="H232" i="23"/>
  <c r="G222" i="26"/>
  <c r="G220" i="26" s="1"/>
  <c r="H139" i="25"/>
  <c r="H137" i="25" s="1"/>
  <c r="G238" i="23"/>
  <c r="F228" i="26"/>
  <c r="F226" i="26" s="1"/>
  <c r="H272" i="23"/>
  <c r="G260" i="26"/>
  <c r="G259" i="26" s="1"/>
  <c r="H230" i="25"/>
  <c r="H229" i="25" s="1"/>
  <c r="G340" i="26"/>
  <c r="H193" i="25"/>
  <c r="H341" i="26"/>
  <c r="I194" i="25"/>
  <c r="G294" i="23"/>
  <c r="F348" i="26"/>
  <c r="F346" i="26" s="1"/>
  <c r="I310" i="23"/>
  <c r="H382" i="26"/>
  <c r="H381" i="26" s="1"/>
  <c r="I207" i="25"/>
  <c r="I206" i="25" s="1"/>
  <c r="I363" i="23"/>
  <c r="I351" i="23" s="1"/>
  <c r="I350" i="23" s="1"/>
  <c r="H299" i="26"/>
  <c r="H297" i="26" s="1"/>
  <c r="I242" i="25"/>
  <c r="I240" i="25" s="1"/>
  <c r="I232" i="25" s="1"/>
  <c r="I381" i="23"/>
  <c r="I380" i="23" s="1"/>
  <c r="I379" i="23" s="1"/>
  <c r="H392" i="23"/>
  <c r="G315" i="26"/>
  <c r="G314" i="26" s="1"/>
  <c r="H274" i="25"/>
  <c r="H273" i="25" s="1"/>
  <c r="H317" i="26"/>
  <c r="I276" i="25"/>
  <c r="G352" i="26"/>
  <c r="G351" i="26" s="1"/>
  <c r="H294" i="25"/>
  <c r="H293" i="25" s="1"/>
  <c r="G356" i="26"/>
  <c r="H298" i="25"/>
  <c r="H297" i="25" s="1"/>
  <c r="G358" i="26"/>
  <c r="G357" i="26" s="1"/>
  <c r="H300" i="25"/>
  <c r="H299" i="25" s="1"/>
  <c r="G435" i="23"/>
  <c r="G428" i="23" s="1"/>
  <c r="F411" i="26"/>
  <c r="F410" i="26" s="1"/>
  <c r="G475" i="23"/>
  <c r="F159" i="26"/>
  <c r="F158" i="26" s="1"/>
  <c r="F170" i="26"/>
  <c r="F39" i="26"/>
  <c r="F37" i="26" s="1"/>
  <c r="G19" i="25"/>
  <c r="G17" i="25" s="1"/>
  <c r="G46" i="26"/>
  <c r="I248" i="23"/>
  <c r="I247" i="23" s="1"/>
  <c r="H237" i="26"/>
  <c r="H236" i="26" s="1"/>
  <c r="G272" i="23"/>
  <c r="F260" i="26"/>
  <c r="F259" i="26" s="1"/>
  <c r="H381" i="23"/>
  <c r="H380" i="23" s="1"/>
  <c r="H379" i="23" s="1"/>
  <c r="G13" i="26"/>
  <c r="G12" i="26" s="1"/>
  <c r="G11" i="26" s="1"/>
  <c r="H12" i="25"/>
  <c r="H11" i="25" s="1"/>
  <c r="H13" i="23"/>
  <c r="H12" i="23" s="1"/>
  <c r="F32" i="26"/>
  <c r="G14" i="25"/>
  <c r="G38" i="26"/>
  <c r="H18" i="25"/>
  <c r="H45" i="26"/>
  <c r="G191" i="26"/>
  <c r="G190" i="26" s="1"/>
  <c r="F196" i="26"/>
  <c r="G160" i="25"/>
  <c r="H199" i="26"/>
  <c r="I125" i="25"/>
  <c r="F210" i="26"/>
  <c r="G163" i="25"/>
  <c r="G213" i="26"/>
  <c r="H166" i="25"/>
  <c r="H214" i="26"/>
  <c r="I167" i="25"/>
  <c r="H230" i="23"/>
  <c r="G219" i="26"/>
  <c r="G218" i="26" s="1"/>
  <c r="H129" i="25"/>
  <c r="H128" i="25" s="1"/>
  <c r="I232" i="23"/>
  <c r="H222" i="26"/>
  <c r="H220" i="26" s="1"/>
  <c r="I139" i="25"/>
  <c r="I137" i="25" s="1"/>
  <c r="H238" i="23"/>
  <c r="G228" i="26"/>
  <c r="G226" i="26" s="1"/>
  <c r="G248" i="23"/>
  <c r="G247" i="23" s="1"/>
  <c r="F237" i="26"/>
  <c r="F236" i="26" s="1"/>
  <c r="F235" i="26" s="1"/>
  <c r="G257" i="23"/>
  <c r="F256" i="26"/>
  <c r="H260" i="26"/>
  <c r="H259" i="26" s="1"/>
  <c r="I230" i="25"/>
  <c r="I229" i="25" s="1"/>
  <c r="H340" i="26"/>
  <c r="I193" i="25"/>
  <c r="H294" i="23"/>
  <c r="G348" i="26"/>
  <c r="G346" i="26" s="1"/>
  <c r="H203" i="25"/>
  <c r="H201" i="25" s="1"/>
  <c r="H344" i="23"/>
  <c r="H339" i="23" s="1"/>
  <c r="H338" i="23" s="1"/>
  <c r="G242" i="26"/>
  <c r="G240" i="26" s="1"/>
  <c r="H134" i="25"/>
  <c r="H132" i="25" s="1"/>
  <c r="G352" i="23"/>
  <c r="G351" i="23" s="1"/>
  <c r="F287" i="26"/>
  <c r="F286" i="26" s="1"/>
  <c r="F285" i="26" s="1"/>
  <c r="I392" i="23"/>
  <c r="H315" i="26"/>
  <c r="H314" i="26" s="1"/>
  <c r="I274" i="25"/>
  <c r="I273" i="25" s="1"/>
  <c r="F318" i="26"/>
  <c r="H352" i="26"/>
  <c r="H351" i="26" s="1"/>
  <c r="I294" i="25"/>
  <c r="I293" i="25" s="1"/>
  <c r="F354" i="26"/>
  <c r="F353" i="26" s="1"/>
  <c r="H356" i="26"/>
  <c r="I298" i="25"/>
  <c r="I297" i="25" s="1"/>
  <c r="H358" i="26"/>
  <c r="H357" i="26" s="1"/>
  <c r="I300" i="25"/>
  <c r="I299" i="25" s="1"/>
  <c r="H435" i="23"/>
  <c r="H428" i="23" s="1"/>
  <c r="G411" i="26"/>
  <c r="G410" i="26" s="1"/>
  <c r="G394" i="26" s="1"/>
  <c r="H269" i="25"/>
  <c r="H268" i="25" s="1"/>
  <c r="H267" i="25" s="1"/>
  <c r="G456" i="23"/>
  <c r="G451" i="23" s="1"/>
  <c r="G450" i="23" s="1"/>
  <c r="F111" i="26"/>
  <c r="F110" i="26" s="1"/>
  <c r="F105" i="26" s="1"/>
  <c r="F104" i="26" s="1"/>
  <c r="H399" i="25"/>
  <c r="G170" i="26"/>
  <c r="H19" i="23"/>
  <c r="G29" i="26"/>
  <c r="G28" i="26" s="1"/>
  <c r="H39" i="25"/>
  <c r="H38" i="25" s="1"/>
  <c r="F34" i="26"/>
  <c r="G16" i="25"/>
  <c r="H42" i="23"/>
  <c r="H390" i="25"/>
  <c r="H389" i="25" s="1"/>
  <c r="H388" i="25" s="1"/>
  <c r="G55" i="26"/>
  <c r="G54" i="26" s="1"/>
  <c r="H91" i="23"/>
  <c r="G330" i="26"/>
  <c r="G329" i="26" s="1"/>
  <c r="H88" i="25"/>
  <c r="H87" i="25" s="1"/>
  <c r="G95" i="23"/>
  <c r="F334" i="26"/>
  <c r="F333" i="26" s="1"/>
  <c r="G92" i="25"/>
  <c r="G91" i="25" s="1"/>
  <c r="H115" i="23"/>
  <c r="H114" i="23" s="1"/>
  <c r="H113" i="23" s="1"/>
  <c r="G455" i="26"/>
  <c r="G454" i="26" s="1"/>
  <c r="G453" i="26" s="1"/>
  <c r="G452" i="26" s="1"/>
  <c r="H431" i="25"/>
  <c r="H430" i="25" s="1"/>
  <c r="H429" i="25" s="1"/>
  <c r="H428" i="25" s="1"/>
  <c r="H414" i="25" s="1"/>
  <c r="H124" i="23"/>
  <c r="G427" i="26"/>
  <c r="G426" i="26" s="1"/>
  <c r="H319" i="25"/>
  <c r="H318" i="25" s="1"/>
  <c r="G440" i="26"/>
  <c r="H321" i="25"/>
  <c r="H87" i="26"/>
  <c r="I65" i="25"/>
  <c r="G173" i="23"/>
  <c r="G170" i="23" s="1"/>
  <c r="G169" i="23" s="1"/>
  <c r="F372" i="26"/>
  <c r="F371" i="26" s="1"/>
  <c r="G96" i="25"/>
  <c r="G95" i="25" s="1"/>
  <c r="H49" i="26"/>
  <c r="H48" i="26" s="1"/>
  <c r="G195" i="26"/>
  <c r="H159" i="25"/>
  <c r="H196" i="26"/>
  <c r="I160" i="25"/>
  <c r="G209" i="26"/>
  <c r="H162" i="25"/>
  <c r="F214" i="26"/>
  <c r="G167" i="25"/>
  <c r="I257" i="23"/>
  <c r="H256" i="26"/>
  <c r="I278" i="23"/>
  <c r="H278" i="26"/>
  <c r="H277" i="26" s="1"/>
  <c r="I223" i="25"/>
  <c r="I222" i="25" s="1"/>
  <c r="G341" i="26"/>
  <c r="H194" i="25"/>
  <c r="H310" i="23"/>
  <c r="H301" i="23" s="1"/>
  <c r="G382" i="26"/>
  <c r="G381" i="26" s="1"/>
  <c r="G366" i="26" s="1"/>
  <c r="H207" i="25"/>
  <c r="H206" i="25" s="1"/>
  <c r="G392" i="23"/>
  <c r="F315" i="26"/>
  <c r="F314" i="26" s="1"/>
  <c r="I16" i="23"/>
  <c r="H26" i="26"/>
  <c r="H25" i="26" s="1"/>
  <c r="I36" i="25"/>
  <c r="I35" i="25" s="1"/>
  <c r="G33" i="26"/>
  <c r="H15" i="25"/>
  <c r="H34" i="26"/>
  <c r="I16" i="25"/>
  <c r="H39" i="26"/>
  <c r="I19" i="25"/>
  <c r="G44" i="23"/>
  <c r="F57" i="26"/>
  <c r="F56" i="26" s="1"/>
  <c r="H90" i="26"/>
  <c r="I81" i="25"/>
  <c r="H128" i="23"/>
  <c r="G431" i="26"/>
  <c r="G430" i="26" s="1"/>
  <c r="H331" i="25"/>
  <c r="H330" i="25" s="1"/>
  <c r="F441" i="26"/>
  <c r="H138" i="23"/>
  <c r="G443" i="26"/>
  <c r="G442" i="26" s="1"/>
  <c r="H324" i="25"/>
  <c r="H323" i="25" s="1"/>
  <c r="F87" i="26"/>
  <c r="G65" i="25"/>
  <c r="G88" i="26"/>
  <c r="H66" i="25"/>
  <c r="H194" i="26"/>
  <c r="I158" i="25"/>
  <c r="H13" i="26"/>
  <c r="H12" i="26" s="1"/>
  <c r="H11" i="26" s="1"/>
  <c r="I12" i="25"/>
  <c r="I11" i="25" s="1"/>
  <c r="I13" i="23"/>
  <c r="I12" i="23" s="1"/>
  <c r="G19" i="23"/>
  <c r="F29" i="26"/>
  <c r="F28" i="26" s="1"/>
  <c r="G39" i="25"/>
  <c r="G38" i="25" s="1"/>
  <c r="G32" i="26"/>
  <c r="H14" i="25"/>
  <c r="H33" i="26"/>
  <c r="I15" i="25"/>
  <c r="H38" i="26"/>
  <c r="I18" i="25"/>
  <c r="G42" i="23"/>
  <c r="F55" i="26"/>
  <c r="F54" i="26" s="1"/>
  <c r="H44" i="23"/>
  <c r="G57" i="26"/>
  <c r="G56" i="26" s="1"/>
  <c r="F91" i="26"/>
  <c r="F89" i="26" s="1"/>
  <c r="G82" i="25"/>
  <c r="G80" i="25" s="1"/>
  <c r="G79" i="25" s="1"/>
  <c r="G91" i="23"/>
  <c r="F330" i="26"/>
  <c r="F329" i="26" s="1"/>
  <c r="G88" i="25"/>
  <c r="G87" i="25" s="1"/>
  <c r="G93" i="23"/>
  <c r="F332" i="26"/>
  <c r="F331" i="26" s="1"/>
  <c r="G90" i="25"/>
  <c r="G89" i="25" s="1"/>
  <c r="G120" i="23"/>
  <c r="F423" i="26"/>
  <c r="F422" i="26" s="1"/>
  <c r="G124" i="23"/>
  <c r="F427" i="26"/>
  <c r="F426" i="26" s="1"/>
  <c r="I128" i="23"/>
  <c r="H431" i="26"/>
  <c r="H430" i="26" s="1"/>
  <c r="I331" i="25"/>
  <c r="I330" i="25" s="1"/>
  <c r="F440" i="26"/>
  <c r="G441" i="26"/>
  <c r="H322" i="25"/>
  <c r="I138" i="23"/>
  <c r="H443" i="26"/>
  <c r="H442" i="26" s="1"/>
  <c r="I324" i="25"/>
  <c r="I323" i="25" s="1"/>
  <c r="G87" i="26"/>
  <c r="H65" i="25"/>
  <c r="H88" i="26"/>
  <c r="I66" i="25"/>
  <c r="F46" i="26"/>
  <c r="F44" i="26" s="1"/>
  <c r="F43" i="26" s="1"/>
  <c r="G49" i="26"/>
  <c r="G48" i="26" s="1"/>
  <c r="H191" i="26"/>
  <c r="H190" i="26" s="1"/>
  <c r="F195" i="26"/>
  <c r="G159" i="25"/>
  <c r="G196" i="26"/>
  <c r="H160" i="25"/>
  <c r="G200" i="26"/>
  <c r="H126" i="25"/>
  <c r="F209" i="26"/>
  <c r="G162" i="25"/>
  <c r="G210" i="26"/>
  <c r="H163" i="25"/>
  <c r="H213" i="26"/>
  <c r="I166" i="25"/>
  <c r="F215" i="26"/>
  <c r="G168" i="25"/>
  <c r="I238" i="23"/>
  <c r="H228" i="26"/>
  <c r="H226" i="26" s="1"/>
  <c r="H248" i="23"/>
  <c r="H247" i="23" s="1"/>
  <c r="G237" i="26"/>
  <c r="G236" i="26" s="1"/>
  <c r="H257" i="23"/>
  <c r="G256" i="26"/>
  <c r="I272" i="23"/>
  <c r="H278" i="23"/>
  <c r="G278" i="26"/>
  <c r="G277" i="26" s="1"/>
  <c r="H223" i="25"/>
  <c r="H222" i="25" s="1"/>
  <c r="H280" i="23"/>
  <c r="G282" i="26"/>
  <c r="G279" i="26" s="1"/>
  <c r="H227" i="25"/>
  <c r="H224" i="25" s="1"/>
  <c r="F341" i="26"/>
  <c r="H348" i="26"/>
  <c r="H346" i="26" s="1"/>
  <c r="I203" i="25"/>
  <c r="I201" i="25" s="1"/>
  <c r="G310" i="23"/>
  <c r="G301" i="23" s="1"/>
  <c r="F382" i="26"/>
  <c r="F381" i="26" s="1"/>
  <c r="I314" i="23"/>
  <c r="H386" i="26"/>
  <c r="H385" i="26" s="1"/>
  <c r="I211" i="25"/>
  <c r="I210" i="25" s="1"/>
  <c r="I344" i="23"/>
  <c r="I339" i="23" s="1"/>
  <c r="I338" i="23" s="1"/>
  <c r="H242" i="26"/>
  <c r="H240" i="26" s="1"/>
  <c r="I134" i="25"/>
  <c r="I132" i="25" s="1"/>
  <c r="H352" i="23"/>
  <c r="G287" i="26"/>
  <c r="G286" i="26" s="1"/>
  <c r="G381" i="23"/>
  <c r="G380" i="23" s="1"/>
  <c r="G379" i="23" s="1"/>
  <c r="F317" i="26"/>
  <c r="G318" i="26"/>
  <c r="H277" i="25"/>
  <c r="G354" i="26"/>
  <c r="G353" i="26" s="1"/>
  <c r="H296" i="25"/>
  <c r="H295" i="25" s="1"/>
  <c r="G327" i="26"/>
  <c r="G326" i="26" s="1"/>
  <c r="H287" i="25"/>
  <c r="H286" i="25" s="1"/>
  <c r="H283" i="25" s="1"/>
  <c r="I435" i="23"/>
  <c r="I428" i="23" s="1"/>
  <c r="H411" i="26"/>
  <c r="H410" i="26" s="1"/>
  <c r="H394" i="26" s="1"/>
  <c r="I269" i="25"/>
  <c r="I268" i="25" s="1"/>
  <c r="I267" i="25" s="1"/>
  <c r="G469" i="23"/>
  <c r="F153" i="26"/>
  <c r="F152" i="26" s="1"/>
  <c r="F151" i="26" s="1"/>
  <c r="F171" i="26"/>
  <c r="G394" i="23"/>
  <c r="G486" i="23"/>
  <c r="G485" i="23" s="1"/>
  <c r="I178" i="23"/>
  <c r="I22" i="23"/>
  <c r="I202" i="23"/>
  <c r="G205" i="23"/>
  <c r="I205" i="23"/>
  <c r="I217" i="23"/>
  <c r="H224" i="23"/>
  <c r="H287" i="23"/>
  <c r="H142" i="23"/>
  <c r="H141" i="23" s="1"/>
  <c r="G178" i="23"/>
  <c r="G177" i="23" s="1"/>
  <c r="G176" i="23" s="1"/>
  <c r="G175" i="23" s="1"/>
  <c r="H28" i="23"/>
  <c r="G56" i="23"/>
  <c r="H160" i="23"/>
  <c r="H159" i="23" s="1"/>
  <c r="I220" i="23"/>
  <c r="I287" i="23"/>
  <c r="I286" i="23" s="1"/>
  <c r="H394" i="23"/>
  <c r="I394" i="23"/>
  <c r="G135" i="23"/>
  <c r="I142" i="23"/>
  <c r="I141" i="23" s="1"/>
  <c r="G160" i="23"/>
  <c r="G159" i="23" s="1"/>
  <c r="H220" i="23"/>
  <c r="I224" i="23"/>
  <c r="H56" i="23"/>
  <c r="G28" i="23"/>
  <c r="I135" i="23"/>
  <c r="I160" i="23"/>
  <c r="I159" i="23" s="1"/>
  <c r="H170" i="23"/>
  <c r="H169" i="23" s="1"/>
  <c r="I186" i="23"/>
  <c r="I185" i="23" s="1"/>
  <c r="I184" i="23" s="1"/>
  <c r="I209" i="23"/>
  <c r="G339" i="23"/>
  <c r="G142" i="23"/>
  <c r="G141" i="23" s="1"/>
  <c r="G287" i="23"/>
  <c r="I56" i="23"/>
  <c r="H178" i="23"/>
  <c r="G209" i="23"/>
  <c r="G217" i="23"/>
  <c r="G22" i="23"/>
  <c r="H22" i="23"/>
  <c r="G202" i="23"/>
  <c r="H209" i="23"/>
  <c r="H217" i="23"/>
  <c r="G366" i="23"/>
  <c r="H486" i="23"/>
  <c r="H485" i="23" s="1"/>
  <c r="H462" i="23" s="1"/>
  <c r="H445" i="23" s="1"/>
  <c r="I28" i="23"/>
  <c r="H186" i="23"/>
  <c r="H185" i="23" s="1"/>
  <c r="H184" i="23" s="1"/>
  <c r="H202" i="23"/>
  <c r="G224" i="23"/>
  <c r="H135" i="23"/>
  <c r="G186" i="23"/>
  <c r="G185" i="23" s="1"/>
  <c r="G184" i="23" s="1"/>
  <c r="H205" i="23"/>
  <c r="I170" i="23"/>
  <c r="I169" i="23" s="1"/>
  <c r="G220" i="23"/>
  <c r="I301" i="23" l="1"/>
  <c r="G468" i="23"/>
  <c r="G86" i="25"/>
  <c r="G85" i="25" s="1"/>
  <c r="H86" i="25"/>
  <c r="I86" i="25"/>
  <c r="I254" i="23"/>
  <c r="G214" i="23"/>
  <c r="I214" i="23"/>
  <c r="H214" i="23"/>
  <c r="H201" i="23"/>
  <c r="I285" i="23"/>
  <c r="G119" i="23"/>
  <c r="H282" i="25"/>
  <c r="I282" i="25"/>
  <c r="H64" i="25"/>
  <c r="H45" i="25" s="1"/>
  <c r="H85" i="25"/>
  <c r="I85" i="25"/>
  <c r="G64" i="25"/>
  <c r="G45" i="25" s="1"/>
  <c r="I64" i="25"/>
  <c r="I45" i="25" s="1"/>
  <c r="H123" i="25"/>
  <c r="H235" i="26"/>
  <c r="G254" i="23"/>
  <c r="G90" i="23"/>
  <c r="G89" i="23" s="1"/>
  <c r="H254" i="23"/>
  <c r="H351" i="23"/>
  <c r="H350" i="23" s="1"/>
  <c r="H37" i="23"/>
  <c r="I37" i="23"/>
  <c r="I119" i="23"/>
  <c r="I201" i="23"/>
  <c r="I90" i="23"/>
  <c r="I89" i="23" s="1"/>
  <c r="H90" i="23"/>
  <c r="H89" i="23" s="1"/>
  <c r="G201" i="23"/>
  <c r="G37" i="23"/>
  <c r="H119" i="23"/>
  <c r="F421" i="26"/>
  <c r="F86" i="26"/>
  <c r="F53" i="26" s="1"/>
  <c r="G86" i="26"/>
  <c r="H366" i="26"/>
  <c r="H421" i="26"/>
  <c r="H86" i="26"/>
  <c r="F366" i="26"/>
  <c r="G235" i="26"/>
  <c r="H253" i="26"/>
  <c r="F253" i="26"/>
  <c r="H285" i="26"/>
  <c r="H284" i="26" s="1"/>
  <c r="G253" i="26"/>
  <c r="G421" i="26"/>
  <c r="F394" i="26"/>
  <c r="G285" i="26"/>
  <c r="G284" i="26" s="1"/>
  <c r="I25" i="25"/>
  <c r="G25" i="25"/>
  <c r="H25" i="25"/>
  <c r="I123" i="25"/>
  <c r="F355" i="26"/>
  <c r="G391" i="23"/>
  <c r="I391" i="23"/>
  <c r="I386" i="23" s="1"/>
  <c r="I378" i="23" s="1"/>
  <c r="H391" i="23"/>
  <c r="H386" i="23" s="1"/>
  <c r="H378" i="23" s="1"/>
  <c r="F94" i="26"/>
  <c r="G61" i="23"/>
  <c r="G161" i="25"/>
  <c r="F439" i="26"/>
  <c r="F438" i="26" s="1"/>
  <c r="G286" i="23"/>
  <c r="G285" i="23" s="1"/>
  <c r="G134" i="23"/>
  <c r="G197" i="26"/>
  <c r="I320" i="25"/>
  <c r="I317" i="25" s="1"/>
  <c r="H134" i="23"/>
  <c r="H89" i="26"/>
  <c r="H286" i="23"/>
  <c r="H285" i="23" s="1"/>
  <c r="I134" i="23"/>
  <c r="I275" i="25"/>
  <c r="I272" i="25" s="1"/>
  <c r="I161" i="25"/>
  <c r="F284" i="26"/>
  <c r="H17" i="25"/>
  <c r="I80" i="25"/>
  <c r="I79" i="25" s="1"/>
  <c r="I67" i="25" s="1"/>
  <c r="G212" i="26"/>
  <c r="G89" i="26"/>
  <c r="G53" i="26" s="1"/>
  <c r="H339" i="26"/>
  <c r="G355" i="26"/>
  <c r="G67" i="25"/>
  <c r="F169" i="26"/>
  <c r="F168" i="26" s="1"/>
  <c r="F316" i="26"/>
  <c r="F313" i="26" s="1"/>
  <c r="H157" i="25"/>
  <c r="G165" i="25"/>
  <c r="H398" i="25"/>
  <c r="H397" i="25" s="1"/>
  <c r="H396" i="25" s="1"/>
  <c r="H355" i="26"/>
  <c r="H37" i="26"/>
  <c r="G31" i="26"/>
  <c r="H193" i="26"/>
  <c r="H44" i="26"/>
  <c r="H43" i="26" s="1"/>
  <c r="G37" i="26"/>
  <c r="H192" i="25"/>
  <c r="H177" i="25" s="1"/>
  <c r="F212" i="26"/>
  <c r="I218" i="25"/>
  <c r="F193" i="26"/>
  <c r="F189" i="26" s="1"/>
  <c r="F31" i="26"/>
  <c r="F24" i="26" s="1"/>
  <c r="H316" i="26"/>
  <c r="H313" i="26" s="1"/>
  <c r="H208" i="26"/>
  <c r="G208" i="26"/>
  <c r="H80" i="25"/>
  <c r="H79" i="25" s="1"/>
  <c r="H67" i="25" s="1"/>
  <c r="G316" i="26"/>
  <c r="G313" i="26" s="1"/>
  <c r="G169" i="26"/>
  <c r="G168" i="26" s="1"/>
  <c r="G137" i="26" s="1"/>
  <c r="H197" i="26"/>
  <c r="H31" i="26"/>
  <c r="H177" i="23"/>
  <c r="H176" i="23" s="1"/>
  <c r="H175" i="23" s="1"/>
  <c r="I177" i="23"/>
  <c r="I176" i="23" s="1"/>
  <c r="I175" i="23" s="1"/>
  <c r="H212" i="26"/>
  <c r="F208" i="26"/>
  <c r="G193" i="26"/>
  <c r="I157" i="25"/>
  <c r="G157" i="25"/>
  <c r="G13" i="25"/>
  <c r="G10" i="25" s="1"/>
  <c r="G339" i="26"/>
  <c r="H320" i="25"/>
  <c r="H317" i="25" s="1"/>
  <c r="H218" i="25"/>
  <c r="I17" i="25"/>
  <c r="H13" i="25"/>
  <c r="H161" i="25"/>
  <c r="G439" i="26"/>
  <c r="G438" i="26" s="1"/>
  <c r="I192" i="25"/>
  <c r="I177" i="25" s="1"/>
  <c r="I165" i="25"/>
  <c r="G44" i="26"/>
  <c r="G43" i="26" s="1"/>
  <c r="H439" i="26"/>
  <c r="H438" i="26" s="1"/>
  <c r="H275" i="25"/>
  <c r="H272" i="25" s="1"/>
  <c r="F339" i="26"/>
  <c r="H165" i="25"/>
  <c r="I13" i="25"/>
  <c r="H15" i="23"/>
  <c r="G140" i="23"/>
  <c r="I15" i="23"/>
  <c r="I323" i="23"/>
  <c r="I140" i="23"/>
  <c r="G338" i="23"/>
  <c r="H140" i="23"/>
  <c r="G15" i="23"/>
  <c r="G350" i="23"/>
  <c r="H53" i="26" l="1"/>
  <c r="G202" i="26"/>
  <c r="G122" i="25"/>
  <c r="G121" i="25" s="1"/>
  <c r="H122" i="25"/>
  <c r="H121" i="25" s="1"/>
  <c r="I122" i="25"/>
  <c r="I121" i="25" s="1"/>
  <c r="H11" i="23"/>
  <c r="H10" i="23" s="1"/>
  <c r="H200" i="23"/>
  <c r="H199" i="23" s="1"/>
  <c r="H202" i="26"/>
  <c r="H250" i="25"/>
  <c r="I250" i="25"/>
  <c r="F325" i="26"/>
  <c r="F308" i="26" s="1"/>
  <c r="F202" i="26"/>
  <c r="F188" i="26" s="1"/>
  <c r="I200" i="23"/>
  <c r="I199" i="23" s="1"/>
  <c r="I11" i="23"/>
  <c r="I10" i="23" s="1"/>
  <c r="H323" i="23"/>
  <c r="G189" i="26"/>
  <c r="G188" i="26" s="1"/>
  <c r="G325" i="26"/>
  <c r="G308" i="26" s="1"/>
  <c r="H325" i="26"/>
  <c r="H308" i="26" s="1"/>
  <c r="H189" i="26"/>
  <c r="G323" i="23"/>
  <c r="G118" i="23"/>
  <c r="G117" i="23" s="1"/>
  <c r="H118" i="23"/>
  <c r="H117" i="23" s="1"/>
  <c r="I118" i="23"/>
  <c r="I117" i="23" s="1"/>
  <c r="G11" i="23"/>
  <c r="G10" i="23" s="1"/>
  <c r="H10" i="25"/>
  <c r="H9" i="25" s="1"/>
  <c r="G9" i="25"/>
  <c r="G386" i="23"/>
  <c r="G378" i="23" s="1"/>
  <c r="G24" i="26"/>
  <c r="G462" i="23"/>
  <c r="G445" i="23" s="1"/>
  <c r="H420" i="26"/>
  <c r="H24" i="26"/>
  <c r="F137" i="26"/>
  <c r="F10" i="26"/>
  <c r="F420" i="26"/>
  <c r="G420" i="26"/>
  <c r="I10" i="25"/>
  <c r="I9" i="25" s="1"/>
  <c r="G200" i="23"/>
  <c r="G199" i="23" s="1"/>
  <c r="H432" i="25" l="1"/>
  <c r="I513" i="23"/>
  <c r="I432" i="25"/>
  <c r="H513" i="23"/>
  <c r="H188" i="26"/>
  <c r="G432" i="25"/>
  <c r="F456" i="26"/>
  <c r="F458" i="26" s="1"/>
  <c r="H10" i="26"/>
  <c r="G10" i="26"/>
  <c r="G456" i="26" l="1"/>
  <c r="G458" i="26" s="1"/>
  <c r="H456" i="26"/>
  <c r="H458" i="26" s="1"/>
  <c r="G513" i="23"/>
  <c r="G525" i="23" s="1"/>
  <c r="G517" i="23" l="1"/>
  <c r="G438" i="25"/>
  <c r="F463" i="26"/>
  <c r="H525" i="23" l="1"/>
  <c r="I525" i="23"/>
  <c r="H438" i="25" l="1"/>
  <c r="H517" i="23"/>
  <c r="G463" i="26"/>
  <c r="I517" i="23"/>
  <c r="H463" i="26"/>
  <c r="I438" i="25"/>
</calcChain>
</file>

<file path=xl/sharedStrings.xml><?xml version="1.0" encoding="utf-8"?>
<sst xmlns="http://schemas.openxmlformats.org/spreadsheetml/2006/main" count="5908" uniqueCount="614">
  <si>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</si>
  <si>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</si>
  <si>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</si>
  <si>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</si>
  <si>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</si>
  <si>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</si>
  <si>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</si>
  <si>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</si>
  <si>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</si>
  <si>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</si>
  <si>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</si>
  <si>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</si>
  <si>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</si>
  <si>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</si>
  <si>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</si>
  <si>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</si>
  <si>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</si>
  <si>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</si>
  <si>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</si>
  <si>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</si>
  <si>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</si>
  <si>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</si>
  <si>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</si>
  <si>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</si>
  <si>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</si>
  <si>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</si>
  <si>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</si>
  <si>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</si>
  <si>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</si>
  <si>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</si>
  <si>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</si>
  <si>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</si>
  <si>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</si>
  <si>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</si>
  <si>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</si>
  <si>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</si>
  <si>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</si>
  <si>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</si>
  <si>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</si>
  <si>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</si>
  <si>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</si>
  <si>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</si>
  <si>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</si>
  <si>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</si>
  <si>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</si>
  <si>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</si>
  <si>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</si>
  <si>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</si>
  <si>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</si>
  <si>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</si>
  <si>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</si>
  <si>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</si>
  <si>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</si>
  <si>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</si>
  <si>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</si>
  <si>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</si>
  <si>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</si>
  <si>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</si>
  <si>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</si>
  <si>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</si>
  <si>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</si>
  <si>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</si>
  <si>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</si>
  <si>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</si>
  <si>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</si>
  <si>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</si>
  <si>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</si>
  <si>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</si>
  <si>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</si>
  <si>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</si>
  <si>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</si>
  <si>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</si>
  <si>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</si>
  <si>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</si>
  <si>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</si>
  <si>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</si>
  <si>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</si>
  <si>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</si>
  <si>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</si>
  <si>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</si>
  <si>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</si>
  <si>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</si>
  <si>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</si>
  <si>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</si>
  <si>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</si>
  <si>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</si>
  <si>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</si>
  <si>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08 6 00 80110</t>
  </si>
  <si>
    <t>08 6 00 70010</t>
  </si>
  <si>
    <t>08 6 00 70020</t>
  </si>
  <si>
    <t>08 6 00 70030</t>
  </si>
  <si>
    <t>08 6 00 70060</t>
  </si>
  <si>
    <t>08 5 00 70160</t>
  </si>
  <si>
    <t xml:space="preserve">08 5 00 70160 </t>
  </si>
  <si>
    <t>08 4 00 70280</t>
  </si>
  <si>
    <t>08 5 00 70170</t>
  </si>
  <si>
    <t>08 6 00 52700</t>
  </si>
  <si>
    <t>08 6 00 53800</t>
  </si>
  <si>
    <t>08 6 00 80080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</si>
  <si>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</si>
  <si>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</si>
  <si>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</si>
  <si>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</si>
  <si>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</si>
  <si>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</si>
  <si>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</si>
  <si>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</si>
  <si>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</si>
  <si>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</si>
  <si>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</si>
  <si>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</si>
  <si>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</si>
  <si>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</si>
  <si>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</si>
  <si>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</si>
  <si>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</si>
  <si>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</si>
  <si>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</si>
  <si>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</si>
  <si>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</si>
  <si>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</si>
  <si>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</si>
  <si>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</si>
  <si>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</si>
  <si>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</si>
  <si>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</si>
  <si>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</si>
  <si>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</si>
  <si>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</si>
  <si>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</si>
  <si>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</si>
  <si>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</si>
  <si>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</si>
  <si>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</si>
  <si>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</si>
  <si>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</si>
  <si>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</si>
  <si>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</si>
  <si>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</si>
  <si>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</si>
  <si>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</si>
  <si>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</si>
  <si>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</si>
  <si>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</si>
  <si>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</si>
  <si>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</si>
  <si>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</si>
  <si>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</si>
  <si>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</si>
  <si>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</si>
  <si>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</si>
  <si>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</si>
  <si>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</si>
  <si>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</si>
  <si>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</si>
  <si>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</si>
  <si>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</si>
  <si>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</si>
  <si>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</si>
  <si>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</si>
  <si>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</si>
  <si>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</si>
  <si>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</si>
  <si>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</si>
  <si>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</si>
  <si>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</si>
  <si>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</si>
  <si>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</si>
  <si>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</si>
  <si>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</si>
  <si>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</si>
  <si>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</si>
  <si>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</si>
  <si>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</si>
  <si>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</si>
  <si>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</si>
  <si>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</si>
  <si>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</si>
  <si>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</si>
  <si>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</si>
  <si>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</si>
  <si>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</si>
  <si>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</si>
  <si>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</si>
  <si>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</si>
  <si>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</si>
  <si>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</si>
  <si>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</si>
  <si>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</si>
  <si>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</si>
  <si>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</si>
  <si>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</si>
  <si>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</si>
  <si>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</si>
  <si>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</si>
  <si>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</si>
  <si>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</si>
  <si>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</si>
  <si>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</si>
  <si>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</si>
  <si>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</si>
  <si>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</si>
  <si>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</si>
  <si>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</si>
  <si>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</si>
  <si>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</si>
  <si>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</si>
  <si>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</si>
  <si>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</si>
  <si>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</si>
  <si>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</si>
  <si>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</si>
  <si>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</si>
  <si>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</si>
  <si>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</si>
  <si>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</si>
  <si>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</si>
  <si>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</si>
  <si>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</si>
  <si>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</si>
  <si>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</si>
  <si>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</si>
  <si>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</si>
  <si>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</si>
  <si>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</si>
  <si>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</si>
  <si>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</si>
  <si>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</si>
  <si>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</si>
  <si>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</si>
  <si>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</si>
  <si>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</si>
  <si>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</si>
  <si>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</si>
  <si>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</si>
  <si>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</si>
  <si>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</si>
  <si>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</si>
  <si>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</si>
  <si>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</si>
  <si>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</si>
  <si>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</si>
  <si>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</si>
  <si>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</si>
  <si>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</si>
  <si>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</si>
  <si>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</si>
  <si>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</si>
  <si>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10 1 00 11301</t>
  </si>
  <si>
    <t>Капитальный ремонт муниципальных сетей и котельного оборудования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</si>
  <si>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</si>
  <si>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</si>
  <si>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</si>
  <si>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</si>
  <si>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</si>
  <si>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</si>
  <si>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</si>
  <si>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</si>
  <si>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</si>
  <si>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</si>
  <si>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</si>
  <si>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</si>
  <si>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</si>
  <si>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</si>
  <si>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</si>
  <si>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</si>
  <si>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</si>
  <si>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</si>
  <si>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</si>
  <si>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</si>
  <si>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</si>
  <si>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</si>
  <si>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</si>
  <si>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</si>
  <si>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</si>
  <si>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</si>
  <si>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</si>
  <si>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</si>
  <si>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</si>
  <si>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</si>
  <si>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</si>
  <si>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</si>
  <si>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</si>
  <si>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</si>
  <si>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</si>
  <si>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</si>
  <si>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</si>
  <si>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</si>
  <si>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</si>
  <si>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04 1 00 71850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</si>
  <si>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</si>
  <si>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</si>
  <si>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</si>
  <si>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</si>
  <si>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</si>
  <si>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</si>
  <si>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</si>
  <si>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</si>
  <si>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</si>
  <si>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</si>
  <si>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</si>
  <si>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</si>
  <si>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</si>
  <si>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</si>
  <si>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</si>
  <si>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</si>
  <si>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</si>
  <si>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Проведение обследования ветхого и аварийного муниципального жилого фонда, снос ветхого жилья</t>
  </si>
  <si>
    <t>04 3 00 14151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</si>
  <si>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</si>
  <si>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</si>
  <si>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</si>
  <si>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</si>
  <si>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</si>
  <si>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Капитальный ремонт ул. Ленина</t>
  </si>
  <si>
    <t>11 8 00 11182</t>
  </si>
  <si>
    <t>99 0 00 51200</t>
  </si>
  <si>
    <t>Переселение граждан из аварийного жилищного фонда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</si>
  <si>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</si>
  <si>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</si>
  <si>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2021 год</t>
  </si>
  <si>
    <t>09 0 00 11044</t>
  </si>
  <si>
    <t>08 1 00 16401</t>
  </si>
  <si>
    <t>Организация и проведение мероприятий, посвященных празднованию  Победы в Великой Отечественной войне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</si>
  <si>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</si>
  <si>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</si>
  <si>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</si>
  <si>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</si>
  <si>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</si>
  <si>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</si>
  <si>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</si>
  <si>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</si>
  <si>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</si>
  <si>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08 7 00 13005</t>
  </si>
  <si>
    <t>Работа по обработке социально-значимых инфекций</t>
  </si>
  <si>
    <t>08 6 P1 55730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</si>
  <si>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</si>
  <si>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ежемесячной выплаты в связи с рождением (усыновлением) первого ребенка</t>
  </si>
  <si>
    <t xml:space="preserve">15 0 F2 55550 </t>
  </si>
  <si>
    <t>Реализация программ формирования современной городской среды</t>
  </si>
  <si>
    <t>Реализация проектов инициативного бюджетирования "Твой Кузбасс - твоя инициатива"</t>
  </si>
  <si>
    <t>05 2 00 72060</t>
  </si>
  <si>
    <t>Профилактика безнадзорности и правонарушений несовершеннолетних</t>
  </si>
  <si>
    <t>05 2 00 80140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</si>
  <si>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</si>
  <si>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</si>
  <si>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</si>
  <si>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</si>
  <si>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</si>
  <si>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</si>
  <si>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</si>
  <si>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</si>
  <si>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</si>
  <si>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</si>
  <si>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</si>
  <si>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</si>
  <si>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</si>
  <si>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</si>
  <si>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</si>
  <si>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</si>
  <si>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</si>
  <si>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55550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</si>
  <si>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</si>
  <si>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</si>
  <si>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</si>
  <si>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</si>
  <si>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</si>
  <si>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</si>
  <si>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</si>
  <si>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</si>
  <si>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</si>
  <si>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</si>
  <si>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</si>
  <si>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</si>
  <si>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Подпрограмма "Повышение качества  среды города Анжеро-Судженска"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</si>
  <si>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</si>
  <si>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</si>
  <si>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</si>
  <si>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</si>
  <si>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</si>
  <si>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</si>
  <si>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</si>
  <si>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</si>
  <si>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</si>
  <si>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</si>
  <si>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</si>
  <si>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</si>
  <si>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</si>
  <si>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</si>
  <si>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</si>
  <si>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</si>
  <si>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</si>
  <si>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</si>
  <si>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</si>
  <si>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</si>
  <si>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</si>
  <si>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</si>
  <si>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</si>
  <si>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</si>
  <si>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</si>
  <si>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</si>
  <si>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</si>
  <si>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</si>
  <si>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</si>
  <si>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</si>
  <si>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</si>
  <si>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</si>
  <si>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</si>
  <si>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</si>
  <si>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</si>
  <si>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</si>
  <si>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</si>
  <si>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</si>
  <si>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</si>
  <si>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</si>
  <si>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</si>
  <si>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</si>
  <si>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</si>
  <si>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</si>
  <si>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</si>
  <si>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</si>
  <si>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P1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</si>
  <si>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</si>
  <si>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</si>
  <si>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</si>
  <si>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</si>
  <si>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</si>
  <si>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</si>
  <si>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</si>
  <si>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</si>
  <si>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</si>
  <si>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</si>
  <si>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</si>
  <si>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</si>
  <si>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</si>
  <si>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</si>
  <si>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</si>
  <si>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</si>
  <si>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</si>
  <si>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</si>
  <si>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</si>
  <si>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</si>
  <si>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</si>
  <si>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</si>
  <si>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</si>
  <si>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</si>
  <si>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</si>
  <si>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</si>
  <si>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</si>
  <si>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</si>
  <si>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</si>
  <si>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</si>
  <si>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</si>
  <si>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</si>
  <si>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</si>
  <si>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</si>
  <si>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</si>
  <si>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</si>
  <si>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</si>
  <si>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</si>
  <si>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</si>
  <si>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</si>
  <si>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</si>
  <si>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</si>
  <si>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</si>
  <si>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</si>
  <si>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</si>
  <si>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</si>
  <si>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</si>
  <si>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</si>
  <si>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</si>
  <si>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</si>
  <si>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</si>
  <si>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</si>
  <si>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</si>
  <si>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</si>
  <si>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</si>
  <si>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</si>
  <si>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</si>
  <si>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</si>
  <si>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</si>
  <si>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</si>
  <si>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</si>
  <si>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</si>
  <si>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</si>
  <si>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</si>
  <si>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</si>
  <si>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</si>
  <si>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</si>
  <si>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</si>
  <si>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</si>
  <si>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</si>
  <si>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</si>
  <si>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</si>
  <si>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</si>
  <si>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</si>
  <si>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</si>
  <si>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</si>
  <si>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</si>
  <si>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</si>
  <si>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</si>
  <si>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</si>
  <si>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</si>
  <si>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</si>
  <si>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</si>
  <si>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</si>
  <si>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</si>
  <si>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</si>
  <si>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</si>
  <si>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</si>
  <si>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</si>
  <si>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</si>
  <si>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</si>
  <si>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</si>
  <si>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</si>
  <si>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</si>
  <si>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</si>
  <si>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</si>
  <si>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</si>
  <si>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</si>
  <si>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2021     год</t>
  </si>
  <si>
    <t>2020     год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</si>
  <si>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</si>
  <si>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</si>
  <si>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</si>
  <si>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</si>
  <si>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Приложение 4</t>
  </si>
  <si>
    <t xml:space="preserve">Приложение </t>
  </si>
  <si>
    <t>от ________________2017г. № ________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</si>
  <si>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</si>
  <si>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</si>
  <si>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</si>
  <si>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</si>
  <si>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</si>
  <si>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</si>
  <si>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Дефицит бюджета</t>
  </si>
  <si>
    <t>14151</t>
  </si>
  <si>
    <t>к решению  Совета народных депутатов Анжеро-Судженского городского округа</t>
  </si>
  <si>
    <t xml:space="preserve"> от ______________________2019г. № _______</t>
  </si>
  <si>
    <t xml:space="preserve"> от _____________________.2019г. № _______</t>
  </si>
  <si>
    <t>Реиональный проект «Финансовая поддержка семей при рождении детей»</t>
  </si>
  <si>
    <t>Региональный проект «Формирование комфортной городской среды»</t>
  </si>
  <si>
    <t>051 00 S3420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</si>
  <si>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</si>
  <si>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</si>
  <si>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</si>
  <si>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</si>
  <si>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</si>
  <si>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</si>
  <si>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</si>
  <si>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</si>
  <si>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</si>
  <si>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</si>
  <si>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</si>
  <si>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</si>
  <si>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05 2 00 11214</t>
  </si>
  <si>
    <t>Социальная поддержка детей-сирот, детей, оставшихся без попечения родителей</t>
  </si>
  <si>
    <t>11214</t>
  </si>
  <si>
    <t>10 3 00 15101</t>
  </si>
  <si>
    <t>15101</t>
  </si>
  <si>
    <t>04 3 F3 S9602</t>
  </si>
  <si>
    <t>S9602</t>
  </si>
  <si>
    <t>09 0 00 15233</t>
  </si>
  <si>
    <t>15233</t>
  </si>
  <si>
    <t>10 3 00 16101</t>
  </si>
  <si>
    <t>Финансовое обеспечение затрат ресурсоснабжающим организациям, оказывающим услуги теплоснабжения</t>
  </si>
  <si>
    <t>16101</t>
  </si>
  <si>
    <t>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</t>
  </si>
  <si>
    <t>Возмещение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</t>
  </si>
  <si>
    <t>01 5 00 18002</t>
  </si>
  <si>
    <t>18002</t>
  </si>
  <si>
    <t>Средства массовой информации</t>
  </si>
  <si>
    <t>Периодическая печать и издательства</t>
  </si>
  <si>
    <t xml:space="preserve">01 5 00 18002 </t>
  </si>
  <si>
    <t>08 6 Р1 70050</t>
  </si>
  <si>
    <t>Е.Н.Зачиняева</t>
  </si>
  <si>
    <t>Ведомственная структура расходов бюджета муниципального образования "Анжеро-Судженский городской округ" на 2020 год и на плановый период 2021 и 2022 годов</t>
  </si>
  <si>
    <t>2022 год</t>
  </si>
  <si>
    <t>2022     год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</si>
  <si>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13.03.2008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</si>
  <si>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Актуализация схем энергоресурсов Анжеро-Судженского городского округа</t>
  </si>
  <si>
    <t>10 1 00 11204</t>
  </si>
  <si>
    <t>11204</t>
  </si>
  <si>
    <t>Проведение и организация мероприятий по уничтожению очагов  произрастания дикорастущей наркосодержащих растений</t>
  </si>
  <si>
    <t>03 3 00 13006</t>
  </si>
  <si>
    <t>13006</t>
  </si>
  <si>
    <t>05 1 00 11215</t>
  </si>
  <si>
    <t>Обеспечение предоставления бесплатного двухразового горячего питания или компенсационных выплат обучающимся с ограниченными возможностями здоровья муниципальных образовательных организаций Анжеро-Судженского городского округа, реализующих образовательные программы начального общего, основного общего, среднего общего образования</t>
  </si>
  <si>
    <t>11215</t>
  </si>
  <si>
    <t xml:space="preserve">16 0 00 11009 </t>
  </si>
  <si>
    <t>Создание новых туристических программ, а также обновление существующих маршрутов</t>
  </si>
  <si>
    <t xml:space="preserve">16 0 00 12004 </t>
  </si>
  <si>
    <t>16 0 00 12004</t>
  </si>
  <si>
    <t>Создание туристического бренда и формирование положительного имиджа муниципального образования</t>
  </si>
  <si>
    <t>16 0 00 13007</t>
  </si>
  <si>
    <t>Развитие туристической инфраструктуры и единого информационного пространства</t>
  </si>
  <si>
    <t>16 0 00 14004</t>
  </si>
  <si>
    <t>Проведение событийных и обменных мероприятий в сфере культуры и искусства</t>
  </si>
  <si>
    <t>Популяризация объектов культурного наследия на территории Анжеро-Судженского городского округа</t>
  </si>
  <si>
    <t>16 0 00 15004</t>
  </si>
  <si>
    <t>16 0 00 16002</t>
  </si>
  <si>
    <t>Развитие инфраструктуры размещения, отдыха и досуга</t>
  </si>
  <si>
    <t>Муниципальная программа "Развитие туризма на территории Анжеро-Судженского городского округа"</t>
  </si>
  <si>
    <t>16</t>
  </si>
  <si>
    <t xml:space="preserve">11009 </t>
  </si>
  <si>
    <t xml:space="preserve"> 12004 </t>
  </si>
  <si>
    <t xml:space="preserve"> 12004</t>
  </si>
  <si>
    <t>13007</t>
  </si>
  <si>
    <t>14004</t>
  </si>
  <si>
    <t xml:space="preserve"> 15004</t>
  </si>
  <si>
    <t>16002</t>
  </si>
  <si>
    <t>15004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</si>
  <si>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</si>
  <si>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2020 год и на плановый период 2021 и 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</si>
</sst>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0.00000"/>
    <numFmt numFmtId="166" formatCode="0.000"/>
    <numFmt numFmtId="167" formatCode="0.000000"/>
    <numFmt numFmtId="168" formatCode="0.0000"/>
    <numFmt numFmtId="169" formatCode="_-* #,##0.0\ _₽_-;\-* #,##0.0\ _₽_-;_-* &quot;-&quot;??\ _₽_-;_-@_-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b/>
      <i/>
      <sz val="10"/>
      <name val="Arial Cyr"/>
      <charset val="204"/>
    </font>
    <font>
      <b/>
      <i/>
      <u/>
      <sz val="10"/>
      <name val="Arial Cyr"/>
      <charset val="204"/>
    </font>
    <font>
      <b/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5" fillId="0" borderId="0" applyFont="0" applyFill="0" applyBorder="0" applyAlignment="0" applyProtection="0"/>
  </cellStyleXfs>
  <cellXfs count="240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right" wrapText="1"/>
    </xf>
    <xf numFmtId="0" fontId="13" fillId="0" borderId="1" xfId="0" applyNumberFormat="1" applyFont="1" applyFill="1" applyBorder="1" applyAlignment="1">
      <alignment horizontal="right" wrapText="1"/>
    </xf>
    <xf numFmtId="0" fontId="16" fillId="2" borderId="1" xfId="0" applyFont="1" applyFill="1" applyBorder="1" applyAlignment="1">
      <alignment wrapText="1"/>
    </xf>
    <xf numFmtId="49" fontId="16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15" fillId="0" borderId="1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horizontal="right" wrapText="1"/>
    </xf>
    <xf numFmtId="49" fontId="14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/>
    </xf>
    <xf numFmtId="0" fontId="14" fillId="3" borderId="0" xfId="0" applyFont="1" applyFill="1" applyAlignment="1">
      <alignment wrapText="1"/>
    </xf>
    <xf numFmtId="0" fontId="13" fillId="3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right" wrapText="1"/>
    </xf>
    <xf numFmtId="0" fontId="14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17" fillId="3" borderId="1" xfId="0" applyNumberFormat="1" applyFont="1" applyFill="1" applyBorder="1" applyAlignment="1">
      <alignment horizontal="right" wrapText="1"/>
    </xf>
    <xf numFmtId="49" fontId="17" fillId="3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wrapText="1"/>
    </xf>
    <xf numFmtId="0" fontId="14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0" fontId="0" fillId="3" borderId="0" xfId="0" applyFont="1" applyFill="1" applyAlignment="1">
      <alignment horizontal="center" wrapText="1"/>
    </xf>
    <xf numFmtId="0" fontId="11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166" fontId="0" fillId="0" borderId="0" xfId="0" applyNumberFormat="1" applyFont="1" applyFill="1" applyAlignment="1">
      <alignment horizont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 wrapText="1"/>
    </xf>
    <xf numFmtId="0" fontId="22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49" fontId="23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wrapText="1"/>
    </xf>
    <xf numFmtId="164" fontId="23" fillId="3" borderId="1" xfId="0" applyNumberFormat="1" applyFont="1" applyFill="1" applyBorder="1" applyAlignment="1">
      <alignment horizontal="center" wrapText="1"/>
    </xf>
    <xf numFmtId="49" fontId="23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3" fillId="3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>
      <alignment vertical="top" wrapText="1"/>
    </xf>
    <xf numFmtId="0" fontId="25" fillId="2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wrapText="1"/>
    </xf>
    <xf numFmtId="49" fontId="24" fillId="3" borderId="1" xfId="0" applyNumberFormat="1" applyFont="1" applyFill="1" applyBorder="1" applyAlignment="1">
      <alignment horizontal="center"/>
    </xf>
    <xf numFmtId="0" fontId="24" fillId="3" borderId="1" xfId="0" applyNumberFormat="1" applyFont="1" applyFill="1" applyBorder="1" applyAlignment="1">
      <alignment vertical="top" wrapText="1"/>
    </xf>
    <xf numFmtId="49" fontId="25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9" fillId="0" borderId="0" xfId="0" applyFont="1" applyFill="1" applyAlignment="1">
      <alignment wrapText="1"/>
    </xf>
    <xf numFmtId="0" fontId="26" fillId="3" borderId="0" xfId="0" applyFont="1" applyFill="1" applyAlignment="1">
      <alignment wrapText="1"/>
    </xf>
    <xf numFmtId="0" fontId="23" fillId="3" borderId="1" xfId="0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164" fontId="28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49" fontId="29" fillId="3" borderId="1" xfId="0" quotePrefix="1" applyNumberFormat="1" applyFont="1" applyFill="1" applyBorder="1" applyAlignment="1">
      <alignment horizontal="center" vertical="top" wrapText="1"/>
    </xf>
    <xf numFmtId="0" fontId="28" fillId="3" borderId="1" xfId="0" applyFont="1" applyFill="1" applyBorder="1" applyAlignment="1">
      <alignment horizontal="left" wrapText="1"/>
    </xf>
    <xf numFmtId="164" fontId="3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31" fillId="2" borderId="1" xfId="0" quotePrefix="1" applyNumberFormat="1" applyFont="1" applyFill="1" applyBorder="1" applyAlignment="1">
      <alignment horizontal="center" vertical="top" wrapText="1"/>
    </xf>
    <xf numFmtId="0" fontId="32" fillId="0" borderId="0" xfId="0" applyFont="1" applyFill="1" applyAlignment="1">
      <alignment wrapText="1"/>
    </xf>
    <xf numFmtId="1" fontId="32" fillId="0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distributed" wrapText="1"/>
    </xf>
    <xf numFmtId="49" fontId="34" fillId="0" borderId="1" xfId="0" quotePrefix="1" applyNumberFormat="1" applyFont="1" applyFill="1" applyBorder="1" applyAlignment="1">
      <alignment horizontal="distributed" wrapText="1"/>
    </xf>
    <xf numFmtId="49" fontId="32" fillId="0" borderId="1" xfId="0" applyNumberFormat="1" applyFont="1" applyFill="1" applyBorder="1" applyAlignment="1">
      <alignment horizontal="distributed" wrapText="1"/>
    </xf>
    <xf numFmtId="0" fontId="35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top" wrapText="1"/>
    </xf>
    <xf numFmtId="0" fontId="37" fillId="0" borderId="0" xfId="0" applyFont="1" applyFill="1" applyAlignment="1">
      <alignment vertical="top" wrapText="1"/>
    </xf>
    <xf numFmtId="0" fontId="37" fillId="0" borderId="0" xfId="0" applyFont="1" applyFill="1" applyAlignment="1">
      <alignment horizontal="right" vertical="top" wrapText="1"/>
    </xf>
    <xf numFmtId="0" fontId="18" fillId="0" borderId="1" xfId="0" applyFont="1" applyFill="1" applyBorder="1" applyAlignment="1">
      <alignment horizontal="center" wrapText="1"/>
    </xf>
    <xf numFmtId="49" fontId="36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0" fillId="0" borderId="1" xfId="0" applyFont="1" applyFill="1" applyBorder="1" applyAlignment="1">
      <alignment horizontal="distributed" wrapText="1"/>
    </xf>
    <xf numFmtId="1" fontId="20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wrapText="1"/>
    </xf>
    <xf numFmtId="164" fontId="22" fillId="2" borderId="1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49" fontId="0" fillId="0" borderId="8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7" fontId="0" fillId="0" borderId="0" xfId="0" applyNumberFormat="1" applyFont="1" applyFill="1" applyAlignment="1">
      <alignment horizontal="center" wrapText="1"/>
    </xf>
    <xf numFmtId="0" fontId="38" fillId="0" borderId="0" xfId="0" applyFont="1" applyFill="1" applyAlignment="1">
      <alignment horizontal="righ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1" fontId="39" fillId="0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Alignment="1">
      <alignment horizontal="center" wrapText="1"/>
    </xf>
    <xf numFmtId="164" fontId="1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165" fontId="19" fillId="0" borderId="0" xfId="0" applyNumberFormat="1" applyFont="1" applyFill="1" applyAlignment="1">
      <alignment horizontal="center" wrapText="1"/>
    </xf>
    <xf numFmtId="0" fontId="41" fillId="4" borderId="0" xfId="0" applyFont="1" applyFill="1" applyAlignment="1">
      <alignment wrapText="1"/>
    </xf>
    <xf numFmtId="0" fontId="42" fillId="4" borderId="0" xfId="0" applyFont="1" applyFill="1" applyAlignment="1">
      <alignment wrapText="1"/>
    </xf>
    <xf numFmtId="49" fontId="43" fillId="2" borderId="1" xfId="0" applyNumberFormat="1" applyFont="1" applyFill="1" applyBorder="1" applyAlignment="1">
      <alignment horizontal="center"/>
    </xf>
    <xf numFmtId="49" fontId="22" fillId="3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 wrapText="1"/>
    </xf>
    <xf numFmtId="0" fontId="22" fillId="3" borderId="0" xfId="0" applyFont="1" applyFill="1" applyAlignment="1">
      <alignment wrapText="1"/>
    </xf>
    <xf numFmtId="0" fontId="42" fillId="3" borderId="1" xfId="0" applyFont="1" applyFill="1" applyBorder="1" applyAlignment="1">
      <alignment horizontal="right" wrapText="1"/>
    </xf>
    <xf numFmtId="49" fontId="42" fillId="3" borderId="1" xfId="0" applyNumberFormat="1" applyFont="1" applyFill="1" applyBorder="1" applyAlignment="1">
      <alignment horizontal="center" wrapText="1"/>
    </xf>
    <xf numFmtId="0" fontId="41" fillId="3" borderId="1" xfId="0" applyFont="1" applyFill="1" applyBorder="1" applyAlignment="1">
      <alignment horizontal="right" wrapText="1"/>
    </xf>
    <xf numFmtId="49" fontId="41" fillId="3" borderId="1" xfId="0" applyNumberFormat="1" applyFont="1" applyFill="1" applyBorder="1" applyAlignment="1">
      <alignment horizontal="center" wrapText="1"/>
    </xf>
    <xf numFmtId="0" fontId="42" fillId="3" borderId="0" xfId="0" applyFont="1" applyFill="1" applyAlignment="1">
      <alignment wrapText="1"/>
    </xf>
    <xf numFmtId="0" fontId="41" fillId="3" borderId="0" xfId="0" applyFont="1" applyFill="1" applyAlignment="1">
      <alignment wrapText="1"/>
    </xf>
    <xf numFmtId="1" fontId="35" fillId="0" borderId="1" xfId="0" applyNumberFormat="1" applyFont="1" applyFill="1" applyBorder="1" applyAlignment="1">
      <alignment horizontal="center" wrapText="1"/>
    </xf>
    <xf numFmtId="0" fontId="35" fillId="0" borderId="0" xfId="0" applyFont="1" applyFill="1" applyAlignment="1">
      <alignment horizontal="center" wrapText="1"/>
    </xf>
    <xf numFmtId="0" fontId="44" fillId="0" borderId="0" xfId="0" applyFont="1" applyFill="1" applyAlignment="1">
      <alignment wrapText="1"/>
    </xf>
    <xf numFmtId="0" fontId="44" fillId="0" borderId="0" xfId="0" applyFont="1" applyFill="1" applyAlignment="1">
      <alignment horizontal="right" wrapText="1"/>
    </xf>
    <xf numFmtId="0" fontId="44" fillId="3" borderId="0" xfId="0" applyFont="1" applyFill="1" applyAlignment="1">
      <alignment wrapText="1"/>
    </xf>
    <xf numFmtId="164" fontId="41" fillId="0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43" fontId="16" fillId="0" borderId="1" xfId="2" applyFont="1" applyFill="1" applyBorder="1" applyAlignment="1">
      <alignment horizontal="center" wrapText="1"/>
    </xf>
    <xf numFmtId="43" fontId="4" fillId="0" borderId="1" xfId="2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11" fillId="0" borderId="0" xfId="0" applyNumberFormat="1" applyFont="1" applyFill="1" applyAlignment="1">
      <alignment horizontal="center" wrapText="1"/>
    </xf>
    <xf numFmtId="49" fontId="44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1" fillId="0" borderId="0" xfId="0" applyNumberFormat="1" applyFont="1" applyFill="1" applyAlignment="1">
      <alignment horizontal="center" vertical="top" wrapText="1"/>
    </xf>
    <xf numFmtId="0" fontId="37" fillId="0" borderId="0" xfId="0" applyNumberFormat="1" applyFont="1" applyFill="1" applyBorder="1" applyAlignment="1">
      <alignment horizontal="right" vertical="top" wrapText="1"/>
    </xf>
    <xf numFmtId="0" fontId="37" fillId="0" borderId="4" xfId="0" applyNumberFormat="1" applyFont="1" applyFill="1" applyBorder="1" applyAlignment="1">
      <alignment horizontal="right" vertical="top" wrapText="1"/>
    </xf>
    <xf numFmtId="169" fontId="16" fillId="2" borderId="1" xfId="2" applyNumberFormat="1" applyFont="1" applyFill="1" applyBorder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0"/>
  <sheetViews>
    <sheetView tabSelected="1" zoomScaleNormal="100" workbookViewId="0">
      <selection activeCell="U3" sqref="U3"/>
    </sheetView>
  </sheetViews>
  <sheetFormatPr defaultColWidth="9.140625" defaultRowHeight="12.75" x14ac:dyDescent="0.2"/>
  <cols>
    <col min="1" max="1" width="53.5703125" style="194" customWidth="1"/>
    <col min="2" max="2" width="6.28515625" style="194" customWidth="1"/>
    <col min="3" max="3" width="4.85546875" style="221" customWidth="1"/>
    <col min="4" max="4" width="6.140625" style="221" customWidth="1"/>
    <col min="5" max="5" width="15.42578125" style="221" customWidth="1"/>
    <col min="6" max="6" width="5.85546875" style="221" customWidth="1"/>
    <col min="7" max="7" width="16.7109375" style="221" customWidth="1"/>
    <col min="8" max="8" width="16.140625" style="221" customWidth="1"/>
    <col min="9" max="9" width="15.42578125" style="221" customWidth="1"/>
    <col min="10" max="10" width="0.28515625" style="71" hidden="1" customWidth="1"/>
    <col min="11" max="17" width="9.140625" style="71" hidden="1" customWidth="1"/>
    <col min="18" max="18" width="9.140625" style="194"/>
    <col min="19" max="19" width="11.5703125" style="194" bestFit="1" customWidth="1"/>
    <col min="20" max="16384" width="9.140625" style="194"/>
  </cols>
  <sheetData>
    <row r="1" spans="1:17" ht="18.75" x14ac:dyDescent="0.3">
      <c r="A1" s="235" t="s">
        <v>81</v>
      </c>
      <c r="B1" s="235"/>
      <c r="C1" s="235"/>
      <c r="D1" s="235"/>
      <c r="E1" s="235"/>
      <c r="F1" s="235"/>
      <c r="G1" s="235"/>
      <c r="H1" s="235"/>
      <c r="I1" s="235"/>
    </row>
    <row r="2" spans="1:17" ht="18.75" x14ac:dyDescent="0.3">
      <c r="A2" s="235" t="s">
        <v>537</v>
      </c>
      <c r="B2" s="235"/>
      <c r="C2" s="235"/>
      <c r="D2" s="235"/>
      <c r="E2" s="235"/>
      <c r="F2" s="235"/>
      <c r="G2" s="235"/>
      <c r="H2" s="235"/>
      <c r="I2" s="235"/>
    </row>
    <row r="3" spans="1:17" ht="18.75" x14ac:dyDescent="0.3">
      <c r="A3" s="235" t="s">
        <v>539</v>
      </c>
      <c r="B3" s="235"/>
      <c r="C3" s="235"/>
      <c r="D3" s="235"/>
      <c r="E3" s="235"/>
      <c r="F3" s="235"/>
      <c r="G3" s="235"/>
      <c r="H3" s="235"/>
      <c r="I3" s="235"/>
    </row>
    <row r="4" spans="1:17" ht="16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</row>
    <row r="5" spans="1:17" s="109" customFormat="1" ht="41.25" customHeight="1" x14ac:dyDescent="0.3">
      <c r="A5" s="228" t="s">
        <v>576</v>
      </c>
      <c r="B5" s="228"/>
      <c r="C5" s="228"/>
      <c r="D5" s="228"/>
      <c r="E5" s="228"/>
      <c r="F5" s="228"/>
      <c r="G5" s="228"/>
      <c r="H5" s="228"/>
      <c r="I5" s="228"/>
      <c r="J5" s="96"/>
      <c r="K5" s="96"/>
      <c r="L5" s="96"/>
      <c r="M5" s="96"/>
      <c r="N5" s="96"/>
      <c r="O5" s="96"/>
      <c r="P5" s="96"/>
      <c r="Q5" s="96"/>
    </row>
    <row r="6" spans="1:17" s="216" customFormat="1" ht="25.5" customHeight="1" thickBot="1" x14ac:dyDescent="0.25">
      <c r="A6" s="229"/>
      <c r="B6" s="229"/>
      <c r="C6" s="229"/>
      <c r="D6" s="229"/>
      <c r="E6" s="229"/>
      <c r="F6" s="229"/>
      <c r="G6" s="229"/>
      <c r="I6" s="217" t="s">
        <v>60</v>
      </c>
      <c r="J6" s="218"/>
      <c r="K6" s="218"/>
      <c r="L6" s="218"/>
      <c r="M6" s="218"/>
      <c r="N6" s="218"/>
      <c r="O6" s="218"/>
      <c r="P6" s="218"/>
      <c r="Q6" s="218"/>
    </row>
    <row r="7" spans="1:17" ht="13.5" customHeight="1" x14ac:dyDescent="0.2">
      <c r="A7" s="230"/>
      <c r="B7" s="226" t="s">
        <v>57</v>
      </c>
      <c r="C7" s="226" t="s">
        <v>7</v>
      </c>
      <c r="D7" s="226" t="s">
        <v>8</v>
      </c>
      <c r="E7" s="226" t="s">
        <v>9</v>
      </c>
      <c r="F7" s="226" t="s">
        <v>10</v>
      </c>
      <c r="G7" s="232" t="s">
        <v>297</v>
      </c>
      <c r="H7" s="232" t="s">
        <v>320</v>
      </c>
      <c r="I7" s="232" t="s">
        <v>577</v>
      </c>
    </row>
    <row r="8" spans="1:17" ht="30" customHeight="1" x14ac:dyDescent="0.2">
      <c r="A8" s="231"/>
      <c r="B8" s="227"/>
      <c r="C8" s="227"/>
      <c r="D8" s="227"/>
      <c r="E8" s="227"/>
      <c r="F8" s="227"/>
      <c r="G8" s="233"/>
      <c r="H8" s="233"/>
      <c r="I8" s="233"/>
    </row>
    <row r="9" spans="1:17" s="215" customFormat="1" ht="11.25" x14ac:dyDescent="0.2">
      <c r="A9" s="158">
        <v>1</v>
      </c>
      <c r="B9" s="158">
        <v>2</v>
      </c>
      <c r="C9" s="158">
        <v>3</v>
      </c>
      <c r="D9" s="158">
        <v>4</v>
      </c>
      <c r="E9" s="158">
        <v>5</v>
      </c>
      <c r="F9" s="158">
        <v>6</v>
      </c>
      <c r="G9" s="214">
        <v>7</v>
      </c>
      <c r="H9" s="214">
        <v>8</v>
      </c>
      <c r="I9" s="214">
        <v>9</v>
      </c>
    </row>
    <row r="10" spans="1:17" s="10" customFormat="1" ht="18" customHeight="1" x14ac:dyDescent="0.2">
      <c r="A10" s="35" t="s">
        <v>43</v>
      </c>
      <c r="B10" s="36">
        <v>900</v>
      </c>
      <c r="C10" s="37"/>
      <c r="D10" s="37"/>
      <c r="E10" s="37"/>
      <c r="F10" s="47"/>
      <c r="G10" s="38">
        <f>G11+G61+G77+G85+G89+G109+G71+G113+G105</f>
        <v>159043.30000000002</v>
      </c>
      <c r="H10" s="38">
        <f t="shared" ref="H10:I10" si="0">H11+H61+H77+H85+H89+H109+H71+H113+H105</f>
        <v>136990.1</v>
      </c>
      <c r="I10" s="38">
        <f t="shared" si="0"/>
        <v>158636.59999999998</v>
      </c>
    </row>
    <row r="11" spans="1:17" s="61" customFormat="1" x14ac:dyDescent="0.2">
      <c r="A11" s="55" t="s">
        <v>58</v>
      </c>
      <c r="B11" s="56">
        <v>900</v>
      </c>
      <c r="C11" s="57" t="s">
        <v>11</v>
      </c>
      <c r="D11" s="58"/>
      <c r="E11" s="58"/>
      <c r="F11" s="59"/>
      <c r="G11" s="60">
        <f>G12+G15+G37+G34+G31</f>
        <v>100321.4</v>
      </c>
      <c r="H11" s="60">
        <f t="shared" ref="H11:I11" si="1">H12+H15+H37+H34+H31</f>
        <v>73719.600000000006</v>
      </c>
      <c r="I11" s="60">
        <f t="shared" si="1"/>
        <v>72441.099999999991</v>
      </c>
    </row>
    <row r="12" spans="1:17" s="66" customFormat="1" ht="38.25" x14ac:dyDescent="0.2">
      <c r="A12" s="62" t="s">
        <v>12</v>
      </c>
      <c r="B12" s="63">
        <v>900</v>
      </c>
      <c r="C12" s="64" t="s">
        <v>11</v>
      </c>
      <c r="D12" s="64" t="s">
        <v>13</v>
      </c>
      <c r="E12" s="64"/>
      <c r="F12" s="64"/>
      <c r="G12" s="65">
        <f t="shared" ref="G12:I12" si="2">G13</f>
        <v>2391.9</v>
      </c>
      <c r="H12" s="65">
        <f t="shared" si="2"/>
        <v>2191.9</v>
      </c>
      <c r="I12" s="65">
        <f t="shared" si="2"/>
        <v>2191.9</v>
      </c>
    </row>
    <row r="13" spans="1:17" ht="25.5" x14ac:dyDescent="0.2">
      <c r="A13" s="18" t="s">
        <v>280</v>
      </c>
      <c r="B13" s="22">
        <v>900</v>
      </c>
      <c r="C13" s="19" t="s">
        <v>11</v>
      </c>
      <c r="D13" s="19" t="s">
        <v>13</v>
      </c>
      <c r="E13" s="19" t="s">
        <v>120</v>
      </c>
      <c r="F13" s="19"/>
      <c r="G13" s="20">
        <f>+G14</f>
        <v>2391.9</v>
      </c>
      <c r="H13" s="20">
        <f t="shared" ref="H13:I13" si="3">+H14</f>
        <v>2191.9</v>
      </c>
      <c r="I13" s="20">
        <f t="shared" si="3"/>
        <v>2191.9</v>
      </c>
      <c r="J13" s="100"/>
      <c r="K13" s="100"/>
      <c r="L13" s="100"/>
      <c r="M13" s="100"/>
      <c r="N13" s="100"/>
      <c r="O13" s="100"/>
      <c r="P13" s="100"/>
      <c r="Q13" s="100"/>
    </row>
    <row r="14" spans="1:17" s="26" customFormat="1" ht="51.75" customHeight="1" x14ac:dyDescent="0.2">
      <c r="A14" s="30" t="s">
        <v>64</v>
      </c>
      <c r="B14" s="32">
        <v>900</v>
      </c>
      <c r="C14" s="24" t="s">
        <v>11</v>
      </c>
      <c r="D14" s="24" t="s">
        <v>13</v>
      </c>
      <c r="E14" s="24" t="s">
        <v>120</v>
      </c>
      <c r="F14" s="27" t="s">
        <v>65</v>
      </c>
      <c r="G14" s="25">
        <v>2391.9</v>
      </c>
      <c r="H14" s="25">
        <f>1683.5+508.4</f>
        <v>2191.9</v>
      </c>
      <c r="I14" s="25">
        <f>1683.5+508.4</f>
        <v>2191.9</v>
      </c>
      <c r="J14" s="101"/>
      <c r="K14" s="101"/>
      <c r="L14" s="101"/>
      <c r="M14" s="101"/>
      <c r="N14" s="101"/>
      <c r="O14" s="101"/>
      <c r="P14" s="101"/>
      <c r="Q14" s="101"/>
    </row>
    <row r="15" spans="1:17" s="66" customFormat="1" ht="51" x14ac:dyDescent="0.2">
      <c r="A15" s="62" t="s">
        <v>16</v>
      </c>
      <c r="B15" s="63">
        <v>900</v>
      </c>
      <c r="C15" s="64" t="s">
        <v>11</v>
      </c>
      <c r="D15" s="64" t="s">
        <v>17</v>
      </c>
      <c r="E15" s="64"/>
      <c r="F15" s="64"/>
      <c r="G15" s="65">
        <f>G16+G19+G22+G28+G26</f>
        <v>66985.7</v>
      </c>
      <c r="H15" s="65">
        <f>H16+H19+H22+H28+H26</f>
        <v>51666.7</v>
      </c>
      <c r="I15" s="65">
        <f>I16+I19+I22+I28+I26</f>
        <v>50423.299999999996</v>
      </c>
    </row>
    <row r="16" spans="1:17" s="21" customFormat="1" ht="25.5" x14ac:dyDescent="0.2">
      <c r="A16" s="18" t="s">
        <v>121</v>
      </c>
      <c r="B16" s="22">
        <v>900</v>
      </c>
      <c r="C16" s="19" t="s">
        <v>11</v>
      </c>
      <c r="D16" s="19" t="s">
        <v>17</v>
      </c>
      <c r="E16" s="19" t="s">
        <v>85</v>
      </c>
      <c r="F16" s="19"/>
      <c r="G16" s="20">
        <f>G17+G18</f>
        <v>486.20000000000005</v>
      </c>
      <c r="H16" s="20">
        <f>H17+H18</f>
        <v>486.20000000000005</v>
      </c>
      <c r="I16" s="20">
        <f>I17+I18</f>
        <v>486.20000000000005</v>
      </c>
    </row>
    <row r="17" spans="1:17" s="26" customFormat="1" ht="52.5" customHeight="1" x14ac:dyDescent="0.2">
      <c r="A17" s="23" t="s">
        <v>64</v>
      </c>
      <c r="B17" s="31">
        <v>900</v>
      </c>
      <c r="C17" s="24" t="s">
        <v>11</v>
      </c>
      <c r="D17" s="24" t="s">
        <v>17</v>
      </c>
      <c r="E17" s="24" t="s">
        <v>85</v>
      </c>
      <c r="F17" s="27" t="s">
        <v>65</v>
      </c>
      <c r="G17" s="25">
        <f>351.1+106</f>
        <v>457.1</v>
      </c>
      <c r="H17" s="25">
        <f>351.1+106</f>
        <v>457.1</v>
      </c>
      <c r="I17" s="25">
        <f>351.1+106</f>
        <v>457.1</v>
      </c>
    </row>
    <row r="18" spans="1:17" s="26" customFormat="1" ht="25.5" x14ac:dyDescent="0.2">
      <c r="A18" s="23" t="s">
        <v>114</v>
      </c>
      <c r="B18" s="31">
        <v>900</v>
      </c>
      <c r="C18" s="24" t="s">
        <v>11</v>
      </c>
      <c r="D18" s="24" t="s">
        <v>17</v>
      </c>
      <c r="E18" s="24" t="s">
        <v>85</v>
      </c>
      <c r="F18" s="27" t="s">
        <v>66</v>
      </c>
      <c r="G18" s="25">
        <v>29.1</v>
      </c>
      <c r="H18" s="25">
        <v>29.1</v>
      </c>
      <c r="I18" s="25">
        <v>29.1</v>
      </c>
    </row>
    <row r="19" spans="1:17" s="71" customFormat="1" ht="15" customHeight="1" x14ac:dyDescent="0.2">
      <c r="A19" s="67" t="s">
        <v>122</v>
      </c>
      <c r="B19" s="68">
        <v>900</v>
      </c>
      <c r="C19" s="69" t="s">
        <v>11</v>
      </c>
      <c r="D19" s="69" t="s">
        <v>17</v>
      </c>
      <c r="E19" s="69" t="s">
        <v>84</v>
      </c>
      <c r="F19" s="69"/>
      <c r="G19" s="70">
        <f>G20+G21</f>
        <v>115.00000000000001</v>
      </c>
      <c r="H19" s="70">
        <f>H20+H21</f>
        <v>115.00000000000001</v>
      </c>
      <c r="I19" s="70">
        <f>I20+I21</f>
        <v>115.00000000000001</v>
      </c>
    </row>
    <row r="20" spans="1:17" s="76" customFormat="1" ht="51.75" customHeight="1" x14ac:dyDescent="0.2">
      <c r="A20" s="77" t="s">
        <v>64</v>
      </c>
      <c r="B20" s="78">
        <v>900</v>
      </c>
      <c r="C20" s="74" t="s">
        <v>11</v>
      </c>
      <c r="D20" s="74" t="s">
        <v>17</v>
      </c>
      <c r="E20" s="74" t="s">
        <v>84</v>
      </c>
      <c r="F20" s="75" t="s">
        <v>65</v>
      </c>
      <c r="G20" s="54">
        <f>86.9+26.2</f>
        <v>113.10000000000001</v>
      </c>
      <c r="H20" s="54">
        <f>86.9+26.2</f>
        <v>113.10000000000001</v>
      </c>
      <c r="I20" s="54">
        <f>86.9+26.2</f>
        <v>113.10000000000001</v>
      </c>
    </row>
    <row r="21" spans="1:17" s="76" customFormat="1" ht="25.5" x14ac:dyDescent="0.2">
      <c r="A21" s="77" t="s">
        <v>114</v>
      </c>
      <c r="B21" s="78">
        <v>900</v>
      </c>
      <c r="C21" s="74" t="s">
        <v>11</v>
      </c>
      <c r="D21" s="74" t="s">
        <v>17</v>
      </c>
      <c r="E21" s="74" t="s">
        <v>84</v>
      </c>
      <c r="F21" s="75" t="s">
        <v>66</v>
      </c>
      <c r="G21" s="54">
        <v>1.9</v>
      </c>
      <c r="H21" s="54">
        <v>1.9</v>
      </c>
      <c r="I21" s="54">
        <v>1.9</v>
      </c>
    </row>
    <row r="22" spans="1:17" ht="25.5" x14ac:dyDescent="0.2">
      <c r="A22" s="18" t="s">
        <v>280</v>
      </c>
      <c r="B22" s="22">
        <v>900</v>
      </c>
      <c r="C22" s="19" t="s">
        <v>11</v>
      </c>
      <c r="D22" s="19" t="s">
        <v>17</v>
      </c>
      <c r="E22" s="19" t="s">
        <v>123</v>
      </c>
      <c r="F22" s="19"/>
      <c r="G22" s="20">
        <f>SUM(G23:G25)</f>
        <v>60712.800000000003</v>
      </c>
      <c r="H22" s="20">
        <f>SUM(H23:H25)</f>
        <v>46073.4</v>
      </c>
      <c r="I22" s="20">
        <f>SUM(I23:I25)</f>
        <v>44830</v>
      </c>
      <c r="J22" s="100"/>
      <c r="K22" s="100"/>
      <c r="L22" s="100"/>
      <c r="M22" s="100"/>
      <c r="N22" s="100"/>
      <c r="O22" s="100"/>
      <c r="P22" s="100"/>
      <c r="Q22" s="100"/>
    </row>
    <row r="23" spans="1:17" s="26" customFormat="1" ht="51" customHeight="1" x14ac:dyDescent="0.2">
      <c r="A23" s="30" t="s">
        <v>64</v>
      </c>
      <c r="B23" s="32">
        <v>900</v>
      </c>
      <c r="C23" s="24" t="s">
        <v>11</v>
      </c>
      <c r="D23" s="24" t="s">
        <v>17</v>
      </c>
      <c r="E23" s="24" t="s">
        <v>123</v>
      </c>
      <c r="F23" s="27" t="s">
        <v>65</v>
      </c>
      <c r="G23" s="25">
        <v>41179.300000000003</v>
      </c>
      <c r="H23" s="25">
        <v>40832.300000000003</v>
      </c>
      <c r="I23" s="25">
        <v>40832.300000000003</v>
      </c>
      <c r="J23" s="101"/>
      <c r="K23" s="101"/>
      <c r="L23" s="101"/>
      <c r="M23" s="101"/>
      <c r="N23" s="101"/>
      <c r="O23" s="101"/>
      <c r="P23" s="101"/>
      <c r="Q23" s="101"/>
    </row>
    <row r="24" spans="1:17" s="26" customFormat="1" ht="25.5" x14ac:dyDescent="0.2">
      <c r="A24" s="28" t="s">
        <v>74</v>
      </c>
      <c r="B24" s="32">
        <v>900</v>
      </c>
      <c r="C24" s="24" t="s">
        <v>11</v>
      </c>
      <c r="D24" s="24" t="s">
        <v>17</v>
      </c>
      <c r="E24" s="24" t="s">
        <v>123</v>
      </c>
      <c r="F24" s="27" t="s">
        <v>66</v>
      </c>
      <c r="G24" s="25">
        <f>13562.6+5821.2-112.3</f>
        <v>19271.5</v>
      </c>
      <c r="H24" s="25">
        <f>4258.6+940.5</f>
        <v>5199.1000000000004</v>
      </c>
      <c r="I24" s="25">
        <f>3015.2+940.5</f>
        <v>3955.7</v>
      </c>
    </row>
    <row r="25" spans="1:17" s="26" customFormat="1" x14ac:dyDescent="0.2">
      <c r="A25" s="28" t="s">
        <v>70</v>
      </c>
      <c r="B25" s="31">
        <v>900</v>
      </c>
      <c r="C25" s="24" t="s">
        <v>11</v>
      </c>
      <c r="D25" s="24" t="s">
        <v>17</v>
      </c>
      <c r="E25" s="24" t="s">
        <v>123</v>
      </c>
      <c r="F25" s="24" t="s">
        <v>71</v>
      </c>
      <c r="G25" s="25">
        <v>262</v>
      </c>
      <c r="H25" s="25">
        <v>42</v>
      </c>
      <c r="I25" s="25">
        <v>42</v>
      </c>
      <c r="J25" s="101"/>
      <c r="K25" s="101"/>
      <c r="L25" s="101"/>
      <c r="M25" s="101"/>
      <c r="N25" s="101"/>
      <c r="O25" s="101"/>
      <c r="P25" s="101"/>
      <c r="Q25" s="101"/>
    </row>
    <row r="26" spans="1:17" s="71" customFormat="1" ht="25.5" x14ac:dyDescent="0.2">
      <c r="A26" s="81" t="s">
        <v>135</v>
      </c>
      <c r="B26" s="81">
        <v>900</v>
      </c>
      <c r="C26" s="69" t="s">
        <v>11</v>
      </c>
      <c r="D26" s="69" t="s">
        <v>17</v>
      </c>
      <c r="E26" s="69" t="s">
        <v>134</v>
      </c>
      <c r="F26" s="82"/>
      <c r="G26" s="83">
        <f>G27</f>
        <v>300</v>
      </c>
      <c r="H26" s="83">
        <f>H27</f>
        <v>0</v>
      </c>
      <c r="I26" s="83">
        <f>I27</f>
        <v>0</v>
      </c>
    </row>
    <row r="27" spans="1:17" s="71" customFormat="1" ht="25.5" x14ac:dyDescent="0.2">
      <c r="A27" s="28" t="s">
        <v>74</v>
      </c>
      <c r="B27" s="79">
        <v>900</v>
      </c>
      <c r="C27" s="74" t="s">
        <v>11</v>
      </c>
      <c r="D27" s="74" t="s">
        <v>17</v>
      </c>
      <c r="E27" s="74" t="s">
        <v>134</v>
      </c>
      <c r="F27" s="74" t="s">
        <v>66</v>
      </c>
      <c r="G27" s="54">
        <v>300</v>
      </c>
      <c r="H27" s="54"/>
      <c r="I27" s="54"/>
    </row>
    <row r="28" spans="1:17" s="21" customFormat="1" ht="25.5" x14ac:dyDescent="0.2">
      <c r="A28" s="18" t="s">
        <v>280</v>
      </c>
      <c r="B28" s="22">
        <v>900</v>
      </c>
      <c r="C28" s="19" t="s">
        <v>11</v>
      </c>
      <c r="D28" s="19" t="s">
        <v>17</v>
      </c>
      <c r="E28" s="19" t="s">
        <v>124</v>
      </c>
      <c r="F28" s="19"/>
      <c r="G28" s="20">
        <f>G29+G30</f>
        <v>5371.7000000000007</v>
      </c>
      <c r="H28" s="20">
        <f>H29+H30</f>
        <v>4992.1000000000004</v>
      </c>
      <c r="I28" s="20">
        <f>I29+I30</f>
        <v>4992.1000000000004</v>
      </c>
      <c r="J28" s="100"/>
      <c r="K28" s="100"/>
      <c r="L28" s="100"/>
      <c r="M28" s="100"/>
      <c r="N28" s="100"/>
      <c r="O28" s="100"/>
      <c r="P28" s="100"/>
      <c r="Q28" s="100"/>
    </row>
    <row r="29" spans="1:17" s="26" customFormat="1" ht="52.5" customHeight="1" x14ac:dyDescent="0.2">
      <c r="A29" s="30" t="s">
        <v>64</v>
      </c>
      <c r="B29" s="32">
        <v>900</v>
      </c>
      <c r="C29" s="24" t="s">
        <v>11</v>
      </c>
      <c r="D29" s="24" t="s">
        <v>17</v>
      </c>
      <c r="E29" s="19" t="s">
        <v>124</v>
      </c>
      <c r="F29" s="27" t="s">
        <v>65</v>
      </c>
      <c r="G29" s="25">
        <f>3804.2+30+1157.9</f>
        <v>4992.1000000000004</v>
      </c>
      <c r="H29" s="25">
        <f>3804.2+30+1157.9</f>
        <v>4992.1000000000004</v>
      </c>
      <c r="I29" s="25">
        <f>3804.2+30+1157.9</f>
        <v>4992.1000000000004</v>
      </c>
      <c r="J29" s="101"/>
      <c r="K29" s="101"/>
      <c r="L29" s="101"/>
      <c r="M29" s="101"/>
      <c r="N29" s="101"/>
      <c r="O29" s="101"/>
      <c r="P29" s="101"/>
      <c r="Q29" s="101"/>
    </row>
    <row r="30" spans="1:17" s="26" customFormat="1" ht="25.5" x14ac:dyDescent="0.2">
      <c r="A30" s="28" t="s">
        <v>74</v>
      </c>
      <c r="B30" s="32">
        <v>900</v>
      </c>
      <c r="C30" s="24" t="s">
        <v>11</v>
      </c>
      <c r="D30" s="24" t="s">
        <v>17</v>
      </c>
      <c r="E30" s="19" t="s">
        <v>124</v>
      </c>
      <c r="F30" s="27" t="s">
        <v>66</v>
      </c>
      <c r="G30" s="25">
        <v>379.6</v>
      </c>
      <c r="H30" s="25"/>
      <c r="I30" s="25"/>
    </row>
    <row r="31" spans="1:17" s="9" customFormat="1" x14ac:dyDescent="0.2">
      <c r="A31" s="11" t="s">
        <v>301</v>
      </c>
      <c r="B31" s="14">
        <v>900</v>
      </c>
      <c r="C31" s="8" t="s">
        <v>11</v>
      </c>
      <c r="D31" s="8" t="s">
        <v>29</v>
      </c>
      <c r="E31" s="8"/>
      <c r="F31" s="8"/>
      <c r="G31" s="4">
        <f>G32</f>
        <v>17</v>
      </c>
      <c r="H31" s="4">
        <f t="shared" ref="H31:I32" si="4">H32</f>
        <v>18</v>
      </c>
      <c r="I31" s="4">
        <f t="shared" si="4"/>
        <v>145</v>
      </c>
    </row>
    <row r="32" spans="1:17" s="21" customFormat="1" ht="38.25" customHeight="1" x14ac:dyDescent="0.2">
      <c r="A32" s="18" t="s">
        <v>302</v>
      </c>
      <c r="B32" s="22">
        <v>900</v>
      </c>
      <c r="C32" s="19" t="s">
        <v>11</v>
      </c>
      <c r="D32" s="19" t="s">
        <v>29</v>
      </c>
      <c r="E32" s="19" t="s">
        <v>316</v>
      </c>
      <c r="F32" s="19"/>
      <c r="G32" s="20">
        <f>G33</f>
        <v>17</v>
      </c>
      <c r="H32" s="20">
        <f t="shared" si="4"/>
        <v>18</v>
      </c>
      <c r="I32" s="20">
        <f t="shared" si="4"/>
        <v>145</v>
      </c>
    </row>
    <row r="33" spans="1:17" s="26" customFormat="1" ht="25.5" x14ac:dyDescent="0.2">
      <c r="A33" s="23" t="s">
        <v>114</v>
      </c>
      <c r="B33" s="31">
        <v>900</v>
      </c>
      <c r="C33" s="24" t="s">
        <v>11</v>
      </c>
      <c r="D33" s="24" t="s">
        <v>29</v>
      </c>
      <c r="E33" s="24" t="s">
        <v>316</v>
      </c>
      <c r="F33" s="27" t="s">
        <v>66</v>
      </c>
      <c r="G33" s="25">
        <v>17</v>
      </c>
      <c r="H33" s="25">
        <v>18</v>
      </c>
      <c r="I33" s="25">
        <v>145</v>
      </c>
    </row>
    <row r="34" spans="1:17" s="9" customFormat="1" x14ac:dyDescent="0.2">
      <c r="A34" s="11" t="s">
        <v>21</v>
      </c>
      <c r="B34" s="14">
        <v>900</v>
      </c>
      <c r="C34" s="8" t="s">
        <v>11</v>
      </c>
      <c r="D34" s="8" t="s">
        <v>20</v>
      </c>
      <c r="E34" s="8"/>
      <c r="F34" s="8"/>
      <c r="G34" s="4">
        <f t="shared" ref="G34:I35" si="5">G35</f>
        <v>2000</v>
      </c>
      <c r="H34" s="4">
        <f t="shared" si="5"/>
        <v>2000</v>
      </c>
      <c r="I34" s="4">
        <f t="shared" si="5"/>
        <v>2000</v>
      </c>
      <c r="J34" s="106"/>
      <c r="K34" s="106"/>
      <c r="L34" s="106"/>
      <c r="M34" s="106"/>
      <c r="N34" s="106"/>
      <c r="O34" s="106"/>
      <c r="P34" s="106"/>
      <c r="Q34" s="106"/>
    </row>
    <row r="35" spans="1:17" s="7" customFormat="1" x14ac:dyDescent="0.2">
      <c r="A35" s="18" t="s">
        <v>240</v>
      </c>
      <c r="B35" s="103">
        <v>900</v>
      </c>
      <c r="C35" s="104" t="s">
        <v>11</v>
      </c>
      <c r="D35" s="104" t="s">
        <v>20</v>
      </c>
      <c r="E35" s="19" t="s">
        <v>242</v>
      </c>
      <c r="F35" s="19"/>
      <c r="G35" s="20">
        <f t="shared" si="5"/>
        <v>2000</v>
      </c>
      <c r="H35" s="20">
        <f t="shared" si="5"/>
        <v>2000</v>
      </c>
      <c r="I35" s="20">
        <f t="shared" si="5"/>
        <v>2000</v>
      </c>
      <c r="J35" s="102"/>
      <c r="K35" s="102"/>
      <c r="L35" s="102"/>
      <c r="M35" s="102"/>
      <c r="N35" s="102"/>
      <c r="O35" s="102"/>
      <c r="P35" s="102"/>
      <c r="Q35" s="102"/>
    </row>
    <row r="36" spans="1:17" s="26" customFormat="1" x14ac:dyDescent="0.2">
      <c r="A36" s="28" t="s">
        <v>70</v>
      </c>
      <c r="B36" s="31">
        <v>900</v>
      </c>
      <c r="C36" s="24" t="s">
        <v>11</v>
      </c>
      <c r="D36" s="24" t="s">
        <v>20</v>
      </c>
      <c r="E36" s="24" t="s">
        <v>242</v>
      </c>
      <c r="F36" s="24" t="s">
        <v>71</v>
      </c>
      <c r="G36" s="25">
        <v>2000</v>
      </c>
      <c r="H36" s="25">
        <v>2000</v>
      </c>
      <c r="I36" s="25">
        <v>2000</v>
      </c>
      <c r="J36" s="101"/>
      <c r="K36" s="101"/>
      <c r="L36" s="101"/>
      <c r="M36" s="101"/>
      <c r="N36" s="101"/>
      <c r="O36" s="101"/>
      <c r="P36" s="101"/>
      <c r="Q36" s="101"/>
    </row>
    <row r="37" spans="1:17" s="66" customFormat="1" x14ac:dyDescent="0.2">
      <c r="A37" s="62" t="s">
        <v>23</v>
      </c>
      <c r="B37" s="63">
        <v>900</v>
      </c>
      <c r="C37" s="64" t="s">
        <v>11</v>
      </c>
      <c r="D37" s="64" t="s">
        <v>59</v>
      </c>
      <c r="E37" s="64"/>
      <c r="F37" s="64"/>
      <c r="G37" s="65">
        <f>G42+G48+G50+G56+G44+G52+G38+G40+S37+G59+G54+G46</f>
        <v>28926.799999999999</v>
      </c>
      <c r="H37" s="65">
        <f t="shared" ref="H37:I37" si="6">H42+H48+H50+H56+H44+H52+H38+H40+T37+H59+H54+H46</f>
        <v>17843</v>
      </c>
      <c r="I37" s="65">
        <f t="shared" si="6"/>
        <v>17680.899999999998</v>
      </c>
      <c r="J37" s="65" t="e">
        <f>J42+J48+J50+J56+#REF!+J44+#REF!+J52+J38+J40+V37+J59</f>
        <v>#REF!</v>
      </c>
      <c r="K37" s="65" t="e">
        <f>K42+K48+K50+K56+#REF!+K44+#REF!+K52+K38+K40+W37+K59</f>
        <v>#REF!</v>
      </c>
      <c r="L37" s="65" t="e">
        <f>L42+L48+L50+L56+#REF!+L44+#REF!+L52+L38+L40+X37+L59</f>
        <v>#REF!</v>
      </c>
      <c r="M37" s="65" t="e">
        <f>M42+M48+M50+M56+#REF!+M44+#REF!+M52+M38+M40+Y37+M59</f>
        <v>#REF!</v>
      </c>
      <c r="N37" s="65" t="e">
        <f>N42+N48+N50+N56+#REF!+N44+#REF!+N52+N38+N40+Z37+N59</f>
        <v>#REF!</v>
      </c>
      <c r="O37" s="65" t="e">
        <f>O42+O48+O50+O56+#REF!+O44+#REF!+O52+O38+O40+AA37+O59</f>
        <v>#REF!</v>
      </c>
      <c r="P37" s="65" t="e">
        <f>P42+P48+P50+P56+#REF!+P44+#REF!+P52+P38+P40+AB37+P59</f>
        <v>#REF!</v>
      </c>
      <c r="Q37" s="65" t="e">
        <f>Q42+Q48+Q50+Q56+#REF!+Q44+#REF!+Q52+Q38+Q40+AC37+Q59</f>
        <v>#REF!</v>
      </c>
    </row>
    <row r="38" spans="1:17" s="71" customFormat="1" x14ac:dyDescent="0.2">
      <c r="A38" s="67" t="s">
        <v>195</v>
      </c>
      <c r="B38" s="68">
        <v>900</v>
      </c>
      <c r="C38" s="69" t="s">
        <v>11</v>
      </c>
      <c r="D38" s="69" t="s">
        <v>59</v>
      </c>
      <c r="E38" s="69" t="s">
        <v>194</v>
      </c>
      <c r="F38" s="69"/>
      <c r="G38" s="70">
        <f>G39</f>
        <v>3229.2</v>
      </c>
      <c r="H38" s="70">
        <f>H39</f>
        <v>0</v>
      </c>
      <c r="I38" s="70">
        <f>I39</f>
        <v>0</v>
      </c>
    </row>
    <row r="39" spans="1:17" s="76" customFormat="1" x14ac:dyDescent="0.2">
      <c r="A39" s="79" t="s">
        <v>67</v>
      </c>
      <c r="B39" s="78">
        <v>900</v>
      </c>
      <c r="C39" s="74" t="s">
        <v>11</v>
      </c>
      <c r="D39" s="74" t="s">
        <v>59</v>
      </c>
      <c r="E39" s="74" t="s">
        <v>194</v>
      </c>
      <c r="F39" s="74" t="s">
        <v>68</v>
      </c>
      <c r="G39" s="54">
        <v>3229.2</v>
      </c>
      <c r="H39" s="54"/>
      <c r="I39" s="54"/>
    </row>
    <row r="40" spans="1:17" s="21" customFormat="1" x14ac:dyDescent="0.2">
      <c r="A40" s="18" t="s">
        <v>241</v>
      </c>
      <c r="B40" s="22">
        <v>900</v>
      </c>
      <c r="C40" s="19" t="s">
        <v>11</v>
      </c>
      <c r="D40" s="19" t="s">
        <v>59</v>
      </c>
      <c r="E40" s="19" t="s">
        <v>243</v>
      </c>
      <c r="F40" s="19"/>
      <c r="G40" s="20">
        <f>G41</f>
        <v>1100</v>
      </c>
      <c r="H40" s="20">
        <f>H41</f>
        <v>1100</v>
      </c>
      <c r="I40" s="20">
        <f>I41</f>
        <v>1100</v>
      </c>
    </row>
    <row r="41" spans="1:17" s="26" customFormat="1" x14ac:dyDescent="0.2">
      <c r="A41" s="28" t="s">
        <v>70</v>
      </c>
      <c r="B41" s="31">
        <v>900</v>
      </c>
      <c r="C41" s="24" t="s">
        <v>11</v>
      </c>
      <c r="D41" s="24" t="s">
        <v>59</v>
      </c>
      <c r="E41" s="24" t="s">
        <v>243</v>
      </c>
      <c r="F41" s="24" t="s">
        <v>71</v>
      </c>
      <c r="G41" s="25">
        <v>1100</v>
      </c>
      <c r="H41" s="25">
        <v>1100</v>
      </c>
      <c r="I41" s="25">
        <v>1100</v>
      </c>
    </row>
    <row r="42" spans="1:17" x14ac:dyDescent="0.2">
      <c r="A42" s="18" t="s">
        <v>125</v>
      </c>
      <c r="B42" s="22">
        <v>900</v>
      </c>
      <c r="C42" s="19" t="s">
        <v>11</v>
      </c>
      <c r="D42" s="19" t="s">
        <v>59</v>
      </c>
      <c r="E42" s="19" t="s">
        <v>126</v>
      </c>
      <c r="F42" s="19"/>
      <c r="G42" s="20">
        <f>G43</f>
        <v>3182.8</v>
      </c>
      <c r="H42" s="20">
        <f>H43</f>
        <v>0</v>
      </c>
      <c r="I42" s="20">
        <f>I43</f>
        <v>0</v>
      </c>
      <c r="J42" s="100"/>
      <c r="K42" s="100"/>
      <c r="L42" s="100"/>
      <c r="M42" s="100"/>
      <c r="N42" s="100"/>
      <c r="O42" s="100"/>
      <c r="P42" s="100"/>
      <c r="Q42" s="100"/>
    </row>
    <row r="43" spans="1:17" s="26" customFormat="1" ht="25.5" x14ac:dyDescent="0.2">
      <c r="A43" s="28" t="s">
        <v>119</v>
      </c>
      <c r="B43" s="31">
        <v>900</v>
      </c>
      <c r="C43" s="24" t="s">
        <v>11</v>
      </c>
      <c r="D43" s="24" t="s">
        <v>59</v>
      </c>
      <c r="E43" s="24" t="s">
        <v>126</v>
      </c>
      <c r="F43" s="24" t="s">
        <v>63</v>
      </c>
      <c r="G43" s="25">
        <v>3182.8</v>
      </c>
      <c r="H43" s="25"/>
      <c r="I43" s="25"/>
      <c r="J43" s="101"/>
      <c r="K43" s="101"/>
      <c r="L43" s="101"/>
      <c r="M43" s="101"/>
      <c r="N43" s="101"/>
      <c r="O43" s="101"/>
      <c r="P43" s="101"/>
      <c r="Q43" s="101"/>
    </row>
    <row r="44" spans="1:17" s="71" customFormat="1" ht="25.5" x14ac:dyDescent="0.2">
      <c r="A44" s="81" t="s">
        <v>135</v>
      </c>
      <c r="B44" s="81">
        <v>900</v>
      </c>
      <c r="C44" s="69" t="s">
        <v>11</v>
      </c>
      <c r="D44" s="69" t="s">
        <v>59</v>
      </c>
      <c r="E44" s="69" t="s">
        <v>134</v>
      </c>
      <c r="F44" s="82"/>
      <c r="G44" s="83">
        <f>G45</f>
        <v>1689</v>
      </c>
      <c r="H44" s="83">
        <f>H45</f>
        <v>0</v>
      </c>
      <c r="I44" s="83">
        <f>I45</f>
        <v>0</v>
      </c>
    </row>
    <row r="45" spans="1:17" s="71" customFormat="1" ht="25.5" x14ac:dyDescent="0.2">
      <c r="A45" s="79" t="s">
        <v>119</v>
      </c>
      <c r="B45" s="79">
        <v>900</v>
      </c>
      <c r="C45" s="74" t="s">
        <v>11</v>
      </c>
      <c r="D45" s="74" t="s">
        <v>59</v>
      </c>
      <c r="E45" s="74" t="s">
        <v>134</v>
      </c>
      <c r="F45" s="74" t="s">
        <v>63</v>
      </c>
      <c r="G45" s="54">
        <v>1689</v>
      </c>
      <c r="H45" s="54"/>
      <c r="I45" s="54"/>
    </row>
    <row r="46" spans="1:17" x14ac:dyDescent="0.2">
      <c r="A46" s="18" t="s">
        <v>144</v>
      </c>
      <c r="B46" s="22">
        <v>900</v>
      </c>
      <c r="C46" s="19" t="s">
        <v>11</v>
      </c>
      <c r="D46" s="19" t="s">
        <v>59</v>
      </c>
      <c r="E46" s="19" t="s">
        <v>143</v>
      </c>
      <c r="F46" s="19"/>
      <c r="G46" s="20">
        <f>G47</f>
        <v>850</v>
      </c>
      <c r="H46" s="20">
        <f>H47</f>
        <v>0</v>
      </c>
      <c r="I46" s="20">
        <f>I47</f>
        <v>0</v>
      </c>
      <c r="J46" s="100"/>
      <c r="K46" s="100"/>
      <c r="L46" s="100"/>
      <c r="M46" s="100"/>
      <c r="N46" s="100"/>
      <c r="O46" s="100"/>
      <c r="P46" s="100"/>
      <c r="Q46" s="100"/>
    </row>
    <row r="47" spans="1:17" s="26" customFormat="1" ht="25.5" x14ac:dyDescent="0.2">
      <c r="A47" s="28" t="s">
        <v>80</v>
      </c>
      <c r="B47" s="31">
        <v>900</v>
      </c>
      <c r="C47" s="24" t="s">
        <v>11</v>
      </c>
      <c r="D47" s="24" t="s">
        <v>59</v>
      </c>
      <c r="E47" s="24" t="s">
        <v>143</v>
      </c>
      <c r="F47" s="24" t="s">
        <v>63</v>
      </c>
      <c r="G47" s="25">
        <v>850</v>
      </c>
      <c r="H47" s="25"/>
      <c r="I47" s="25"/>
      <c r="J47" s="101"/>
      <c r="K47" s="101"/>
      <c r="L47" s="101"/>
      <c r="M47" s="101"/>
      <c r="N47" s="101"/>
      <c r="O47" s="101"/>
      <c r="P47" s="101"/>
      <c r="Q47" s="101"/>
    </row>
    <row r="48" spans="1:17" s="21" customFormat="1" ht="38.25" x14ac:dyDescent="0.2">
      <c r="A48" s="18" t="s">
        <v>127</v>
      </c>
      <c r="B48" s="22">
        <v>900</v>
      </c>
      <c r="C48" s="19" t="s">
        <v>11</v>
      </c>
      <c r="D48" s="19" t="s">
        <v>59</v>
      </c>
      <c r="E48" s="19" t="s">
        <v>83</v>
      </c>
      <c r="F48" s="19"/>
      <c r="G48" s="20">
        <f>G49</f>
        <v>125</v>
      </c>
      <c r="H48" s="20">
        <f>H49</f>
        <v>125</v>
      </c>
      <c r="I48" s="20">
        <f>I49</f>
        <v>125</v>
      </c>
    </row>
    <row r="49" spans="1:17" s="26" customFormat="1" ht="25.5" x14ac:dyDescent="0.2">
      <c r="A49" s="28" t="s">
        <v>119</v>
      </c>
      <c r="B49" s="31">
        <v>900</v>
      </c>
      <c r="C49" s="24" t="s">
        <v>11</v>
      </c>
      <c r="D49" s="24" t="s">
        <v>59</v>
      </c>
      <c r="E49" s="24" t="s">
        <v>83</v>
      </c>
      <c r="F49" s="24" t="s">
        <v>63</v>
      </c>
      <c r="G49" s="25">
        <v>125</v>
      </c>
      <c r="H49" s="25">
        <v>125</v>
      </c>
      <c r="I49" s="25">
        <v>125</v>
      </c>
    </row>
    <row r="50" spans="1:17" s="71" customFormat="1" ht="30.75" customHeight="1" x14ac:dyDescent="0.2">
      <c r="A50" s="81" t="s">
        <v>128</v>
      </c>
      <c r="B50" s="84">
        <v>900</v>
      </c>
      <c r="C50" s="69" t="s">
        <v>11</v>
      </c>
      <c r="D50" s="69" t="s">
        <v>59</v>
      </c>
      <c r="E50" s="69" t="s">
        <v>129</v>
      </c>
      <c r="F50" s="69"/>
      <c r="G50" s="70">
        <f>G51</f>
        <v>966</v>
      </c>
      <c r="H50" s="70">
        <f>H51</f>
        <v>966</v>
      </c>
      <c r="I50" s="70">
        <f>I51</f>
        <v>966</v>
      </c>
    </row>
    <row r="51" spans="1:17" s="76" customFormat="1" x14ac:dyDescent="0.2">
      <c r="A51" s="79" t="s">
        <v>67</v>
      </c>
      <c r="B51" s="78">
        <v>900</v>
      </c>
      <c r="C51" s="74" t="s">
        <v>11</v>
      </c>
      <c r="D51" s="74" t="s">
        <v>59</v>
      </c>
      <c r="E51" s="74" t="s">
        <v>129</v>
      </c>
      <c r="F51" s="74" t="s">
        <v>68</v>
      </c>
      <c r="G51" s="54">
        <v>966</v>
      </c>
      <c r="H51" s="54">
        <v>966</v>
      </c>
      <c r="I51" s="54">
        <v>966</v>
      </c>
    </row>
    <row r="52" spans="1:17" s="12" customFormat="1" ht="25.5" x14ac:dyDescent="0.2">
      <c r="A52" s="110" t="s">
        <v>130</v>
      </c>
      <c r="B52" s="199">
        <v>900</v>
      </c>
      <c r="C52" s="19" t="s">
        <v>11</v>
      </c>
      <c r="D52" s="19" t="s">
        <v>59</v>
      </c>
      <c r="E52" s="5" t="s">
        <v>131</v>
      </c>
      <c r="F52" s="5"/>
      <c r="G52" s="6">
        <f>G53</f>
        <v>5639.2</v>
      </c>
      <c r="H52" s="6">
        <f>H53</f>
        <v>5005.8999999999996</v>
      </c>
      <c r="I52" s="6">
        <f>I53</f>
        <v>4843.8</v>
      </c>
      <c r="J52" s="107"/>
      <c r="K52" s="107"/>
      <c r="L52" s="107"/>
      <c r="M52" s="107"/>
      <c r="N52" s="107"/>
      <c r="O52" s="107"/>
      <c r="P52" s="107"/>
      <c r="Q52" s="107"/>
    </row>
    <row r="53" spans="1:17" s="111" customFormat="1" ht="25.5" x14ac:dyDescent="0.2">
      <c r="A53" s="28" t="s">
        <v>119</v>
      </c>
      <c r="B53" s="31">
        <v>900</v>
      </c>
      <c r="C53" s="24" t="s">
        <v>11</v>
      </c>
      <c r="D53" s="24" t="s">
        <v>59</v>
      </c>
      <c r="E53" s="24" t="s">
        <v>131</v>
      </c>
      <c r="F53" s="24" t="s">
        <v>63</v>
      </c>
      <c r="G53" s="25">
        <v>5639.2</v>
      </c>
      <c r="H53" s="25">
        <v>5005.8999999999996</v>
      </c>
      <c r="I53" s="25">
        <v>4843.8</v>
      </c>
      <c r="J53" s="108"/>
      <c r="K53" s="108"/>
      <c r="L53" s="108"/>
      <c r="M53" s="108"/>
      <c r="N53" s="108"/>
      <c r="O53" s="108"/>
      <c r="P53" s="108"/>
      <c r="Q53" s="108"/>
    </row>
    <row r="54" spans="1:17" s="111" customFormat="1" x14ac:dyDescent="0.2">
      <c r="A54" s="18" t="s">
        <v>171</v>
      </c>
      <c r="B54" s="22">
        <v>900</v>
      </c>
      <c r="C54" s="19" t="s">
        <v>11</v>
      </c>
      <c r="D54" s="19" t="s">
        <v>59</v>
      </c>
      <c r="E54" s="5" t="s">
        <v>172</v>
      </c>
      <c r="F54" s="5"/>
      <c r="G54" s="25">
        <f>G55</f>
        <v>1073.8</v>
      </c>
      <c r="H54" s="25">
        <f t="shared" ref="H54:I54" si="7">H55</f>
        <v>0</v>
      </c>
      <c r="I54" s="25">
        <f t="shared" si="7"/>
        <v>0</v>
      </c>
      <c r="J54" s="108"/>
      <c r="K54" s="108"/>
      <c r="L54" s="108"/>
      <c r="M54" s="108"/>
      <c r="N54" s="108"/>
      <c r="O54" s="108"/>
      <c r="P54" s="108"/>
      <c r="Q54" s="108"/>
    </row>
    <row r="55" spans="1:17" s="111" customFormat="1" ht="25.5" x14ac:dyDescent="0.2">
      <c r="A55" s="28" t="s">
        <v>119</v>
      </c>
      <c r="B55" s="32">
        <v>900</v>
      </c>
      <c r="C55" s="24" t="s">
        <v>11</v>
      </c>
      <c r="D55" s="24" t="s">
        <v>59</v>
      </c>
      <c r="E55" s="24" t="s">
        <v>172</v>
      </c>
      <c r="F55" s="27" t="s">
        <v>63</v>
      </c>
      <c r="G55" s="25">
        <v>1073.8</v>
      </c>
      <c r="H55" s="25"/>
      <c r="I55" s="25"/>
      <c r="J55" s="108"/>
      <c r="K55" s="108"/>
      <c r="L55" s="108"/>
      <c r="M55" s="108"/>
      <c r="N55" s="108"/>
      <c r="O55" s="108"/>
      <c r="P55" s="108"/>
      <c r="Q55" s="108"/>
    </row>
    <row r="56" spans="1:17" s="21" customFormat="1" ht="102" x14ac:dyDescent="0.2">
      <c r="A56" s="45" t="s">
        <v>133</v>
      </c>
      <c r="B56" s="22">
        <v>900</v>
      </c>
      <c r="C56" s="19" t="s">
        <v>11</v>
      </c>
      <c r="D56" s="19" t="s">
        <v>59</v>
      </c>
      <c r="E56" s="19" t="s">
        <v>132</v>
      </c>
      <c r="F56" s="19"/>
      <c r="G56" s="20">
        <f>G57+G58</f>
        <v>8019.5999999999995</v>
      </c>
      <c r="H56" s="20">
        <f>H57+H58</f>
        <v>7811.7999999999993</v>
      </c>
      <c r="I56" s="20">
        <f>I57+I58</f>
        <v>7811.7999999999993</v>
      </c>
      <c r="J56" s="100"/>
      <c r="K56" s="100"/>
      <c r="L56" s="100"/>
      <c r="M56" s="100"/>
      <c r="N56" s="100"/>
      <c r="O56" s="100"/>
      <c r="P56" s="100"/>
      <c r="Q56" s="100"/>
    </row>
    <row r="57" spans="1:17" s="26" customFormat="1" ht="53.25" customHeight="1" x14ac:dyDescent="0.2">
      <c r="A57" s="23" t="s">
        <v>64</v>
      </c>
      <c r="B57" s="31">
        <v>900</v>
      </c>
      <c r="C57" s="24" t="s">
        <v>11</v>
      </c>
      <c r="D57" s="24" t="s">
        <v>59</v>
      </c>
      <c r="E57" s="24" t="s">
        <v>132</v>
      </c>
      <c r="F57" s="27" t="s">
        <v>65</v>
      </c>
      <c r="G57" s="25">
        <f>5928.4+30+1799.4</f>
        <v>7757.7999999999993</v>
      </c>
      <c r="H57" s="25">
        <f>5928.4+30+1799.4</f>
        <v>7757.7999999999993</v>
      </c>
      <c r="I57" s="25">
        <f>5928.4+30+1799.4</f>
        <v>7757.7999999999993</v>
      </c>
      <c r="J57" s="101"/>
      <c r="K57" s="101"/>
      <c r="L57" s="101"/>
      <c r="M57" s="101"/>
      <c r="N57" s="101"/>
      <c r="O57" s="101"/>
      <c r="P57" s="101"/>
      <c r="Q57" s="101"/>
    </row>
    <row r="58" spans="1:17" s="76" customFormat="1" ht="25.5" x14ac:dyDescent="0.2">
      <c r="A58" s="79" t="s">
        <v>74</v>
      </c>
      <c r="B58" s="78">
        <v>900</v>
      </c>
      <c r="C58" s="74" t="s">
        <v>11</v>
      </c>
      <c r="D58" s="74" t="s">
        <v>59</v>
      </c>
      <c r="E58" s="74" t="s">
        <v>132</v>
      </c>
      <c r="F58" s="75" t="s">
        <v>66</v>
      </c>
      <c r="G58" s="54">
        <f>261.8</f>
        <v>261.8</v>
      </c>
      <c r="H58" s="54">
        <v>54</v>
      </c>
      <c r="I58" s="54">
        <v>54</v>
      </c>
    </row>
    <row r="59" spans="1:17" ht="38.25" x14ac:dyDescent="0.2">
      <c r="A59" s="18" t="s">
        <v>318</v>
      </c>
      <c r="B59" s="23">
        <v>900</v>
      </c>
      <c r="C59" s="24" t="s">
        <v>11</v>
      </c>
      <c r="D59" s="24" t="s">
        <v>59</v>
      </c>
      <c r="E59" s="24" t="s">
        <v>319</v>
      </c>
      <c r="F59" s="27"/>
      <c r="G59" s="25">
        <f>G60</f>
        <v>3052.2</v>
      </c>
      <c r="H59" s="25">
        <f t="shared" ref="H59:Q59" si="8">H60</f>
        <v>2834.3</v>
      </c>
      <c r="I59" s="25">
        <f t="shared" si="8"/>
        <v>2834.3</v>
      </c>
      <c r="J59" s="189">
        <f t="shared" si="8"/>
        <v>0</v>
      </c>
      <c r="K59" s="189">
        <f t="shared" si="8"/>
        <v>0</v>
      </c>
      <c r="L59" s="189">
        <f t="shared" si="8"/>
        <v>0</v>
      </c>
      <c r="M59" s="189">
        <f t="shared" si="8"/>
        <v>0</v>
      </c>
      <c r="N59" s="189">
        <f t="shared" si="8"/>
        <v>0</v>
      </c>
      <c r="O59" s="189">
        <f t="shared" si="8"/>
        <v>0</v>
      </c>
      <c r="P59" s="189">
        <f t="shared" si="8"/>
        <v>0</v>
      </c>
      <c r="Q59" s="189">
        <f t="shared" si="8"/>
        <v>0</v>
      </c>
    </row>
    <row r="60" spans="1:17" ht="25.5" x14ac:dyDescent="0.2">
      <c r="A60" s="28" t="s">
        <v>119</v>
      </c>
      <c r="B60" s="23">
        <v>900</v>
      </c>
      <c r="C60" s="24" t="s">
        <v>11</v>
      </c>
      <c r="D60" s="24" t="s">
        <v>59</v>
      </c>
      <c r="E60" s="24" t="s">
        <v>319</v>
      </c>
      <c r="F60" s="27" t="s">
        <v>63</v>
      </c>
      <c r="G60" s="25">
        <v>3052.2</v>
      </c>
      <c r="H60" s="25">
        <v>2834.3</v>
      </c>
      <c r="I60" s="25">
        <v>2834.3</v>
      </c>
      <c r="J60" s="100"/>
      <c r="K60" s="100"/>
      <c r="L60" s="100"/>
      <c r="M60" s="100"/>
      <c r="N60" s="100"/>
      <c r="O60" s="100"/>
      <c r="P60" s="100"/>
      <c r="Q60" s="100"/>
    </row>
    <row r="61" spans="1:17" s="88" customFormat="1" ht="25.5" x14ac:dyDescent="0.2">
      <c r="A61" s="87" t="s">
        <v>5</v>
      </c>
      <c r="B61" s="56">
        <v>900</v>
      </c>
      <c r="C61" s="57" t="s">
        <v>15</v>
      </c>
      <c r="D61" s="57"/>
      <c r="E61" s="57"/>
      <c r="F61" s="57"/>
      <c r="G61" s="60">
        <f>G62</f>
        <v>16164.8</v>
      </c>
      <c r="H61" s="60">
        <f t="shared" ref="H61:I61" si="9">H62</f>
        <v>14784.4</v>
      </c>
      <c r="I61" s="60">
        <f t="shared" si="9"/>
        <v>14705.1</v>
      </c>
    </row>
    <row r="62" spans="1:17" s="9" customFormat="1" ht="38.25" x14ac:dyDescent="0.2">
      <c r="A62" s="11" t="s">
        <v>78</v>
      </c>
      <c r="B62" s="14">
        <v>900</v>
      </c>
      <c r="C62" s="8" t="s">
        <v>15</v>
      </c>
      <c r="D62" s="8" t="s">
        <v>25</v>
      </c>
      <c r="E62" s="8"/>
      <c r="F62" s="8"/>
      <c r="G62" s="4">
        <f>G65+G67+G69+G63</f>
        <v>16164.8</v>
      </c>
      <c r="H62" s="4">
        <f t="shared" ref="H62:I62" si="10">H65+H67+H69+H63</f>
        <v>14784.4</v>
      </c>
      <c r="I62" s="4">
        <f t="shared" si="10"/>
        <v>14705.1</v>
      </c>
      <c r="J62" s="106"/>
      <c r="K62" s="106"/>
      <c r="L62" s="106"/>
      <c r="M62" s="106"/>
      <c r="N62" s="106"/>
      <c r="O62" s="106"/>
      <c r="P62" s="106"/>
      <c r="Q62" s="106"/>
    </row>
    <row r="63" spans="1:17" s="76" customFormat="1" ht="67.5" customHeight="1" x14ac:dyDescent="0.2">
      <c r="A63" s="67" t="s">
        <v>550</v>
      </c>
      <c r="B63" s="78">
        <v>900</v>
      </c>
      <c r="C63" s="74" t="s">
        <v>15</v>
      </c>
      <c r="D63" s="74" t="s">
        <v>25</v>
      </c>
      <c r="E63" s="74" t="s">
        <v>548</v>
      </c>
      <c r="F63" s="74"/>
      <c r="G63" s="54">
        <f>G64</f>
        <v>15854.8</v>
      </c>
      <c r="H63" s="54">
        <f t="shared" ref="H63:I63" si="11">H64</f>
        <v>14784.4</v>
      </c>
      <c r="I63" s="54">
        <f t="shared" si="11"/>
        <v>14705.1</v>
      </c>
      <c r="J63" s="101"/>
      <c r="K63" s="101"/>
      <c r="L63" s="101"/>
      <c r="M63" s="101"/>
      <c r="N63" s="101"/>
      <c r="O63" s="101"/>
      <c r="P63" s="101"/>
      <c r="Q63" s="101"/>
    </row>
    <row r="64" spans="1:17" s="76" customFormat="1" ht="25.5" x14ac:dyDescent="0.2">
      <c r="A64" s="79" t="s">
        <v>119</v>
      </c>
      <c r="B64" s="78">
        <v>900</v>
      </c>
      <c r="C64" s="74" t="s">
        <v>15</v>
      </c>
      <c r="D64" s="74" t="s">
        <v>25</v>
      </c>
      <c r="E64" s="74" t="s">
        <v>547</v>
      </c>
      <c r="F64" s="74" t="s">
        <v>63</v>
      </c>
      <c r="G64" s="54">
        <v>15854.8</v>
      </c>
      <c r="H64" s="54">
        <v>14784.4</v>
      </c>
      <c r="I64" s="54">
        <v>14705.1</v>
      </c>
      <c r="J64" s="101"/>
      <c r="K64" s="101"/>
      <c r="L64" s="101"/>
      <c r="M64" s="101"/>
      <c r="N64" s="101"/>
      <c r="O64" s="101"/>
      <c r="P64" s="101"/>
      <c r="Q64" s="101"/>
    </row>
    <row r="65" spans="1:17" s="85" customFormat="1" ht="25.5" x14ac:dyDescent="0.2">
      <c r="A65" s="81" t="s">
        <v>135</v>
      </c>
      <c r="B65" s="84">
        <v>900</v>
      </c>
      <c r="C65" s="69" t="s">
        <v>15</v>
      </c>
      <c r="D65" s="69" t="s">
        <v>25</v>
      </c>
      <c r="E65" s="69" t="s">
        <v>134</v>
      </c>
      <c r="F65" s="82"/>
      <c r="G65" s="83">
        <f>G66</f>
        <v>55</v>
      </c>
      <c r="H65" s="83">
        <f t="shared" ref="H65:I65" si="12">H66</f>
        <v>0</v>
      </c>
      <c r="I65" s="83">
        <f t="shared" si="12"/>
        <v>0</v>
      </c>
      <c r="J65" s="107"/>
      <c r="K65" s="107"/>
      <c r="L65" s="107"/>
      <c r="M65" s="107"/>
      <c r="N65" s="107"/>
      <c r="O65" s="107"/>
      <c r="P65" s="107"/>
      <c r="Q65" s="107"/>
    </row>
    <row r="66" spans="1:17" s="76" customFormat="1" ht="25.5" x14ac:dyDescent="0.2">
      <c r="A66" s="79" t="s">
        <v>119</v>
      </c>
      <c r="B66" s="73">
        <v>900</v>
      </c>
      <c r="C66" s="74" t="s">
        <v>15</v>
      </c>
      <c r="D66" s="74" t="s">
        <v>25</v>
      </c>
      <c r="E66" s="74" t="s">
        <v>134</v>
      </c>
      <c r="F66" s="75" t="s">
        <v>63</v>
      </c>
      <c r="G66" s="54">
        <v>55</v>
      </c>
      <c r="H66" s="54"/>
      <c r="I66" s="54"/>
      <c r="J66" s="101"/>
      <c r="K66" s="101"/>
      <c r="L66" s="101"/>
      <c r="M66" s="101"/>
      <c r="N66" s="101"/>
      <c r="O66" s="101"/>
      <c r="P66" s="101"/>
      <c r="Q66" s="101"/>
    </row>
    <row r="67" spans="1:17" s="85" customFormat="1" x14ac:dyDescent="0.2">
      <c r="A67" s="81" t="s">
        <v>136</v>
      </c>
      <c r="B67" s="84">
        <v>900</v>
      </c>
      <c r="C67" s="69" t="s">
        <v>15</v>
      </c>
      <c r="D67" s="69" t="s">
        <v>25</v>
      </c>
      <c r="E67" s="69" t="s">
        <v>137</v>
      </c>
      <c r="F67" s="82"/>
      <c r="G67" s="83">
        <f>G68</f>
        <v>220</v>
      </c>
      <c r="H67" s="83">
        <f t="shared" ref="H67:I67" si="13">H68</f>
        <v>0</v>
      </c>
      <c r="I67" s="83">
        <f t="shared" si="13"/>
        <v>0</v>
      </c>
    </row>
    <row r="68" spans="1:17" s="26" customFormat="1" ht="25.5" x14ac:dyDescent="0.2">
      <c r="A68" s="28" t="s">
        <v>119</v>
      </c>
      <c r="B68" s="32">
        <v>900</v>
      </c>
      <c r="C68" s="24" t="s">
        <v>15</v>
      </c>
      <c r="D68" s="24" t="s">
        <v>25</v>
      </c>
      <c r="E68" s="24" t="s">
        <v>137</v>
      </c>
      <c r="F68" s="27" t="s">
        <v>63</v>
      </c>
      <c r="G68" s="25">
        <v>220</v>
      </c>
      <c r="H68" s="25"/>
      <c r="I68" s="25"/>
      <c r="J68" s="101"/>
      <c r="K68" s="101"/>
      <c r="L68" s="101"/>
      <c r="M68" s="101"/>
      <c r="N68" s="101"/>
      <c r="O68" s="101"/>
      <c r="P68" s="101"/>
      <c r="Q68" s="101"/>
    </row>
    <row r="69" spans="1:17" s="85" customFormat="1" ht="25.5" x14ac:dyDescent="0.2">
      <c r="A69" s="81" t="s">
        <v>324</v>
      </c>
      <c r="B69" s="84">
        <v>900</v>
      </c>
      <c r="C69" s="69" t="s">
        <v>15</v>
      </c>
      <c r="D69" s="69" t="s">
        <v>25</v>
      </c>
      <c r="E69" s="69" t="s">
        <v>325</v>
      </c>
      <c r="F69" s="82"/>
      <c r="G69" s="83">
        <f>G70</f>
        <v>35</v>
      </c>
      <c r="H69" s="83">
        <f t="shared" ref="H69:I69" si="14">H70</f>
        <v>0</v>
      </c>
      <c r="I69" s="83">
        <f t="shared" si="14"/>
        <v>0</v>
      </c>
      <c r="J69" s="107"/>
      <c r="K69" s="107"/>
      <c r="L69" s="107"/>
      <c r="M69" s="107"/>
      <c r="N69" s="107"/>
      <c r="O69" s="107"/>
      <c r="P69" s="107"/>
      <c r="Q69" s="107"/>
    </row>
    <row r="70" spans="1:17" s="76" customFormat="1" ht="25.5" x14ac:dyDescent="0.2">
      <c r="A70" s="79" t="s">
        <v>119</v>
      </c>
      <c r="B70" s="73">
        <v>900</v>
      </c>
      <c r="C70" s="74" t="s">
        <v>15</v>
      </c>
      <c r="D70" s="74" t="s">
        <v>25</v>
      </c>
      <c r="E70" s="69" t="s">
        <v>325</v>
      </c>
      <c r="F70" s="75" t="s">
        <v>63</v>
      </c>
      <c r="G70" s="54">
        <v>35</v>
      </c>
      <c r="H70" s="54"/>
      <c r="I70" s="54"/>
      <c r="J70" s="101"/>
      <c r="K70" s="101"/>
      <c r="L70" s="101"/>
      <c r="M70" s="101"/>
      <c r="N70" s="101"/>
      <c r="O70" s="101"/>
      <c r="P70" s="101"/>
      <c r="Q70" s="101"/>
    </row>
    <row r="71" spans="1:17" s="88" customFormat="1" x14ac:dyDescent="0.2">
      <c r="A71" s="87" t="s">
        <v>26</v>
      </c>
      <c r="B71" s="89">
        <v>900</v>
      </c>
      <c r="C71" s="57" t="s">
        <v>17</v>
      </c>
      <c r="D71" s="57"/>
      <c r="E71" s="57"/>
      <c r="F71" s="90"/>
      <c r="G71" s="60">
        <f>G72</f>
        <v>655</v>
      </c>
      <c r="H71" s="60">
        <f t="shared" ref="H71:I71" si="15">H72</f>
        <v>0</v>
      </c>
      <c r="I71" s="60">
        <f t="shared" si="15"/>
        <v>0</v>
      </c>
    </row>
    <row r="72" spans="1:17" s="66" customFormat="1" x14ac:dyDescent="0.2">
      <c r="A72" s="62" t="s">
        <v>27</v>
      </c>
      <c r="B72" s="63">
        <v>900</v>
      </c>
      <c r="C72" s="64" t="s">
        <v>17</v>
      </c>
      <c r="D72" s="64" t="s">
        <v>22</v>
      </c>
      <c r="E72" s="64"/>
      <c r="F72" s="64"/>
      <c r="G72" s="65">
        <f>G73+G75</f>
        <v>655</v>
      </c>
      <c r="H72" s="65">
        <f t="shared" ref="H72:I72" si="16">H73+H75</f>
        <v>0</v>
      </c>
      <c r="I72" s="65">
        <f t="shared" si="16"/>
        <v>0</v>
      </c>
    </row>
    <row r="73" spans="1:17" ht="25.5" x14ac:dyDescent="0.2">
      <c r="A73" s="18" t="s">
        <v>139</v>
      </c>
      <c r="B73" s="22">
        <v>900</v>
      </c>
      <c r="C73" s="19" t="s">
        <v>17</v>
      </c>
      <c r="D73" s="19" t="s">
        <v>22</v>
      </c>
      <c r="E73" s="19" t="s">
        <v>138</v>
      </c>
      <c r="F73" s="19"/>
      <c r="G73" s="20">
        <f>G74</f>
        <v>203</v>
      </c>
      <c r="H73" s="20">
        <f>H74</f>
        <v>0</v>
      </c>
      <c r="I73" s="20">
        <f>I74</f>
        <v>0</v>
      </c>
      <c r="J73" s="100"/>
      <c r="K73" s="100"/>
      <c r="L73" s="100"/>
      <c r="M73" s="100"/>
      <c r="N73" s="100"/>
      <c r="O73" s="100"/>
      <c r="P73" s="100"/>
      <c r="Q73" s="100"/>
    </row>
    <row r="74" spans="1:17" s="26" customFormat="1" ht="25.5" x14ac:dyDescent="0.2">
      <c r="A74" s="28" t="s">
        <v>74</v>
      </c>
      <c r="B74" s="31">
        <v>900</v>
      </c>
      <c r="C74" s="24" t="s">
        <v>17</v>
      </c>
      <c r="D74" s="24" t="s">
        <v>22</v>
      </c>
      <c r="E74" s="24" t="s">
        <v>138</v>
      </c>
      <c r="F74" s="24" t="s">
        <v>66</v>
      </c>
      <c r="G74" s="25">
        <v>203</v>
      </c>
      <c r="H74" s="25"/>
      <c r="I74" s="25"/>
      <c r="J74" s="101"/>
      <c r="K74" s="101"/>
      <c r="L74" s="101"/>
      <c r="M74" s="101"/>
      <c r="N74" s="101"/>
      <c r="O74" s="101"/>
      <c r="P74" s="101"/>
      <c r="Q74" s="101"/>
    </row>
    <row r="75" spans="1:17" s="26" customFormat="1" ht="25.5" x14ac:dyDescent="0.2">
      <c r="A75" s="18" t="s">
        <v>551</v>
      </c>
      <c r="B75" s="31">
        <v>900</v>
      </c>
      <c r="C75" s="24" t="s">
        <v>17</v>
      </c>
      <c r="D75" s="24" t="s">
        <v>22</v>
      </c>
      <c r="E75" s="24" t="s">
        <v>552</v>
      </c>
      <c r="F75" s="24"/>
      <c r="G75" s="25">
        <f>G76</f>
        <v>452</v>
      </c>
      <c r="H75" s="25">
        <f t="shared" ref="H75:I75" si="17">H76</f>
        <v>0</v>
      </c>
      <c r="I75" s="25">
        <f t="shared" si="17"/>
        <v>0</v>
      </c>
      <c r="J75" s="101"/>
      <c r="K75" s="101"/>
      <c r="L75" s="101"/>
      <c r="M75" s="101"/>
      <c r="N75" s="101"/>
      <c r="O75" s="101"/>
      <c r="P75" s="101"/>
      <c r="Q75" s="101"/>
    </row>
    <row r="76" spans="1:17" s="26" customFormat="1" x14ac:dyDescent="0.2">
      <c r="A76" s="28" t="s">
        <v>70</v>
      </c>
      <c r="B76" s="31">
        <v>900</v>
      </c>
      <c r="C76" s="24" t="s">
        <v>17</v>
      </c>
      <c r="D76" s="24" t="s">
        <v>22</v>
      </c>
      <c r="E76" s="24" t="s">
        <v>552</v>
      </c>
      <c r="F76" s="24" t="s">
        <v>71</v>
      </c>
      <c r="G76" s="25">
        <v>452</v>
      </c>
      <c r="H76" s="25"/>
      <c r="I76" s="25"/>
      <c r="J76" s="101"/>
      <c r="K76" s="101"/>
      <c r="L76" s="101"/>
      <c r="M76" s="101"/>
      <c r="N76" s="101"/>
      <c r="O76" s="101"/>
      <c r="P76" s="101"/>
      <c r="Q76" s="101"/>
    </row>
    <row r="77" spans="1:17" s="88" customFormat="1" x14ac:dyDescent="0.2">
      <c r="A77" s="87" t="s">
        <v>28</v>
      </c>
      <c r="B77" s="56">
        <v>900</v>
      </c>
      <c r="C77" s="57" t="s">
        <v>29</v>
      </c>
      <c r="D77" s="57"/>
      <c r="E77" s="57"/>
      <c r="F77" s="57"/>
      <c r="G77" s="60">
        <f>G78</f>
        <v>9798.7000000000007</v>
      </c>
      <c r="H77" s="60">
        <f t="shared" ref="H77:I77" si="18">H78</f>
        <v>0</v>
      </c>
      <c r="I77" s="60">
        <f t="shared" si="18"/>
        <v>0</v>
      </c>
    </row>
    <row r="78" spans="1:17" s="66" customFormat="1" x14ac:dyDescent="0.2">
      <c r="A78" s="62" t="s">
        <v>30</v>
      </c>
      <c r="B78" s="63">
        <v>900</v>
      </c>
      <c r="C78" s="64" t="s">
        <v>29</v>
      </c>
      <c r="D78" s="64" t="s">
        <v>11</v>
      </c>
      <c r="E78" s="64"/>
      <c r="F78" s="64"/>
      <c r="G78" s="65">
        <f>G81+G83+G79</f>
        <v>9798.7000000000007</v>
      </c>
      <c r="H78" s="65">
        <f t="shared" ref="H78:I78" si="19">H81+H83+H79</f>
        <v>0</v>
      </c>
      <c r="I78" s="65">
        <f t="shared" si="19"/>
        <v>0</v>
      </c>
    </row>
    <row r="79" spans="1:17" s="71" customFormat="1" x14ac:dyDescent="0.2">
      <c r="A79" s="67" t="s">
        <v>317</v>
      </c>
      <c r="B79" s="67">
        <v>900</v>
      </c>
      <c r="C79" s="69" t="s">
        <v>29</v>
      </c>
      <c r="D79" s="69" t="s">
        <v>11</v>
      </c>
      <c r="E79" s="69" t="s">
        <v>560</v>
      </c>
      <c r="F79" s="91"/>
      <c r="G79" s="70">
        <f>G80</f>
        <v>1277</v>
      </c>
      <c r="H79" s="54">
        <v>0</v>
      </c>
      <c r="I79" s="54">
        <v>0</v>
      </c>
      <c r="J79" s="100"/>
      <c r="K79" s="100"/>
      <c r="L79" s="100"/>
      <c r="M79" s="100"/>
      <c r="N79" s="100"/>
      <c r="O79" s="100"/>
      <c r="P79" s="100"/>
      <c r="Q79" s="100"/>
    </row>
    <row r="80" spans="1:17" s="76" customFormat="1" ht="25.5" x14ac:dyDescent="0.2">
      <c r="A80" s="79" t="s">
        <v>80</v>
      </c>
      <c r="B80" s="79">
        <v>900</v>
      </c>
      <c r="C80" s="74" t="s">
        <v>29</v>
      </c>
      <c r="D80" s="74" t="s">
        <v>11</v>
      </c>
      <c r="E80" s="69" t="s">
        <v>560</v>
      </c>
      <c r="F80" s="75" t="s">
        <v>69</v>
      </c>
      <c r="G80" s="54">
        <v>1277</v>
      </c>
      <c r="H80" s="54"/>
      <c r="I80" s="54"/>
      <c r="J80" s="101"/>
      <c r="K80" s="101"/>
      <c r="L80" s="101"/>
      <c r="M80" s="101"/>
      <c r="N80" s="101"/>
      <c r="O80" s="101"/>
      <c r="P80" s="101"/>
      <c r="Q80" s="101"/>
    </row>
    <row r="81" spans="1:17" x14ac:dyDescent="0.2">
      <c r="A81" s="18" t="s">
        <v>142</v>
      </c>
      <c r="B81" s="22">
        <v>900</v>
      </c>
      <c r="C81" s="19" t="s">
        <v>29</v>
      </c>
      <c r="D81" s="19" t="s">
        <v>11</v>
      </c>
      <c r="E81" s="19" t="s">
        <v>141</v>
      </c>
      <c r="F81" s="19"/>
      <c r="G81" s="20">
        <f>G82</f>
        <v>194.5</v>
      </c>
      <c r="H81" s="20">
        <f t="shared" ref="H81:I81" si="20">H82</f>
        <v>0</v>
      </c>
      <c r="I81" s="20">
        <f t="shared" si="20"/>
        <v>0</v>
      </c>
      <c r="J81" s="100"/>
      <c r="K81" s="100"/>
      <c r="L81" s="100"/>
      <c r="M81" s="100"/>
      <c r="N81" s="100"/>
      <c r="O81" s="100"/>
      <c r="P81" s="100"/>
      <c r="Q81" s="100"/>
    </row>
    <row r="82" spans="1:17" s="26" customFormat="1" ht="23.25" customHeight="1" x14ac:dyDescent="0.2">
      <c r="A82" s="28" t="s">
        <v>80</v>
      </c>
      <c r="B82" s="31">
        <v>900</v>
      </c>
      <c r="C82" s="24" t="s">
        <v>29</v>
      </c>
      <c r="D82" s="24" t="s">
        <v>11</v>
      </c>
      <c r="E82" s="24" t="s">
        <v>141</v>
      </c>
      <c r="F82" s="24" t="s">
        <v>69</v>
      </c>
      <c r="G82" s="25">
        <v>194.5</v>
      </c>
      <c r="H82" s="25"/>
      <c r="I82" s="25"/>
      <c r="J82" s="101"/>
      <c r="K82" s="101"/>
      <c r="L82" s="101"/>
      <c r="M82" s="101"/>
      <c r="N82" s="101"/>
      <c r="O82" s="101"/>
      <c r="P82" s="101"/>
      <c r="Q82" s="101"/>
    </row>
    <row r="83" spans="1:17" x14ac:dyDescent="0.2">
      <c r="A83" s="18" t="s">
        <v>144</v>
      </c>
      <c r="B83" s="22">
        <v>900</v>
      </c>
      <c r="C83" s="19" t="s">
        <v>29</v>
      </c>
      <c r="D83" s="19" t="s">
        <v>11</v>
      </c>
      <c r="E83" s="24" t="s">
        <v>143</v>
      </c>
      <c r="F83" s="19"/>
      <c r="G83" s="20">
        <f>G84</f>
        <v>8327.2000000000007</v>
      </c>
      <c r="H83" s="20">
        <f t="shared" ref="H83:I83" si="21">H84</f>
        <v>0</v>
      </c>
      <c r="I83" s="20">
        <f t="shared" si="21"/>
        <v>0</v>
      </c>
      <c r="J83" s="100"/>
      <c r="K83" s="100"/>
      <c r="L83" s="100"/>
      <c r="M83" s="100"/>
      <c r="N83" s="100"/>
      <c r="O83" s="100"/>
      <c r="P83" s="100"/>
      <c r="Q83" s="100"/>
    </row>
    <row r="84" spans="1:17" s="26" customFormat="1" ht="25.5" x14ac:dyDescent="0.2">
      <c r="A84" s="28" t="s">
        <v>74</v>
      </c>
      <c r="B84" s="22">
        <v>900</v>
      </c>
      <c r="C84" s="19" t="s">
        <v>29</v>
      </c>
      <c r="D84" s="19" t="s">
        <v>11</v>
      </c>
      <c r="E84" s="24" t="s">
        <v>143</v>
      </c>
      <c r="F84" s="24" t="s">
        <v>66</v>
      </c>
      <c r="G84" s="25">
        <v>8327.2000000000007</v>
      </c>
      <c r="H84" s="25"/>
      <c r="I84" s="25"/>
      <c r="J84" s="101"/>
      <c r="K84" s="101"/>
      <c r="L84" s="101"/>
      <c r="M84" s="101"/>
      <c r="N84" s="101"/>
      <c r="O84" s="101"/>
      <c r="P84" s="101"/>
      <c r="Q84" s="101"/>
    </row>
    <row r="85" spans="1:17" s="3" customFormat="1" x14ac:dyDescent="0.2">
      <c r="A85" s="13" t="s">
        <v>35</v>
      </c>
      <c r="B85" s="41">
        <v>900</v>
      </c>
      <c r="C85" s="1" t="s">
        <v>18</v>
      </c>
      <c r="D85" s="1"/>
      <c r="E85" s="1"/>
      <c r="F85" s="1"/>
      <c r="G85" s="2">
        <f t="shared" ref="G85:I87" si="22">G86</f>
        <v>121.1</v>
      </c>
      <c r="H85" s="2">
        <f t="shared" si="22"/>
        <v>121.1</v>
      </c>
      <c r="I85" s="2">
        <f t="shared" si="22"/>
        <v>121.1</v>
      </c>
    </row>
    <row r="86" spans="1:17" s="9" customFormat="1" x14ac:dyDescent="0.2">
      <c r="A86" s="11" t="s">
        <v>38</v>
      </c>
      <c r="B86" s="14">
        <v>900</v>
      </c>
      <c r="C86" s="8" t="s">
        <v>18</v>
      </c>
      <c r="D86" s="8" t="s">
        <v>18</v>
      </c>
      <c r="E86" s="8"/>
      <c r="F86" s="8"/>
      <c r="G86" s="4">
        <f t="shared" si="22"/>
        <v>121.1</v>
      </c>
      <c r="H86" s="4">
        <f t="shared" si="22"/>
        <v>121.1</v>
      </c>
      <c r="I86" s="4">
        <f t="shared" si="22"/>
        <v>121.1</v>
      </c>
      <c r="J86" s="106"/>
      <c r="K86" s="106"/>
      <c r="L86" s="106"/>
      <c r="M86" s="106"/>
      <c r="N86" s="106"/>
      <c r="O86" s="106"/>
      <c r="P86" s="106"/>
      <c r="Q86" s="106"/>
    </row>
    <row r="87" spans="1:17" ht="25.5" x14ac:dyDescent="0.2">
      <c r="A87" s="18" t="s">
        <v>146</v>
      </c>
      <c r="B87" s="22">
        <v>900</v>
      </c>
      <c r="C87" s="19" t="s">
        <v>18</v>
      </c>
      <c r="D87" s="19" t="s">
        <v>18</v>
      </c>
      <c r="E87" s="19" t="s">
        <v>145</v>
      </c>
      <c r="F87" s="19"/>
      <c r="G87" s="20">
        <f>G88</f>
        <v>121.1</v>
      </c>
      <c r="H87" s="20">
        <f t="shared" si="22"/>
        <v>121.1</v>
      </c>
      <c r="I87" s="20">
        <f t="shared" si="22"/>
        <v>121.1</v>
      </c>
      <c r="J87" s="194"/>
      <c r="K87" s="194"/>
      <c r="L87" s="194"/>
      <c r="M87" s="194"/>
      <c r="N87" s="194"/>
      <c r="O87" s="194"/>
      <c r="P87" s="194"/>
      <c r="Q87" s="194"/>
    </row>
    <row r="88" spans="1:17" s="26" customFormat="1" ht="25.5" x14ac:dyDescent="0.2">
      <c r="A88" s="28" t="s">
        <v>74</v>
      </c>
      <c r="B88" s="31">
        <v>900</v>
      </c>
      <c r="C88" s="24" t="s">
        <v>18</v>
      </c>
      <c r="D88" s="24" t="s">
        <v>18</v>
      </c>
      <c r="E88" s="24" t="s">
        <v>145</v>
      </c>
      <c r="F88" s="27" t="s">
        <v>66</v>
      </c>
      <c r="G88" s="25">
        <v>121.1</v>
      </c>
      <c r="H88" s="25">
        <v>121.1</v>
      </c>
      <c r="I88" s="25">
        <v>121.1</v>
      </c>
    </row>
    <row r="89" spans="1:17" s="88" customFormat="1" x14ac:dyDescent="0.2">
      <c r="A89" s="87" t="s">
        <v>50</v>
      </c>
      <c r="B89" s="56">
        <v>900</v>
      </c>
      <c r="C89" s="57" t="s">
        <v>49</v>
      </c>
      <c r="D89" s="57"/>
      <c r="E89" s="57"/>
      <c r="F89" s="57"/>
      <c r="G89" s="60">
        <f>G90+G101</f>
        <v>28494.6</v>
      </c>
      <c r="H89" s="60">
        <f t="shared" ref="H89:I89" si="23">H90+H101</f>
        <v>23109.1</v>
      </c>
      <c r="I89" s="60">
        <f t="shared" si="23"/>
        <v>25073.1</v>
      </c>
    </row>
    <row r="90" spans="1:17" s="9" customFormat="1" x14ac:dyDescent="0.2">
      <c r="A90" s="11" t="s">
        <v>53</v>
      </c>
      <c r="B90" s="14">
        <v>900</v>
      </c>
      <c r="C90" s="8" t="s">
        <v>49</v>
      </c>
      <c r="D90" s="8" t="s">
        <v>15</v>
      </c>
      <c r="E90" s="8"/>
      <c r="F90" s="8"/>
      <c r="G90" s="4">
        <f>G93+G99+G91+G97+G95</f>
        <v>28382.3</v>
      </c>
      <c r="H90" s="4">
        <f t="shared" ref="H90:I90" si="24">H93+H99+H91+H97+H95</f>
        <v>23109.1</v>
      </c>
      <c r="I90" s="4">
        <f t="shared" si="24"/>
        <v>25073.1</v>
      </c>
      <c r="J90" s="106"/>
      <c r="K90" s="106"/>
      <c r="L90" s="106"/>
      <c r="M90" s="106"/>
      <c r="N90" s="106"/>
      <c r="O90" s="106"/>
      <c r="P90" s="106"/>
      <c r="Q90" s="106"/>
    </row>
    <row r="91" spans="1:17" ht="52.5" customHeight="1" x14ac:dyDescent="0.2">
      <c r="A91" s="18" t="s">
        <v>306</v>
      </c>
      <c r="B91" s="18">
        <v>900</v>
      </c>
      <c r="C91" s="19" t="s">
        <v>49</v>
      </c>
      <c r="D91" s="19" t="s">
        <v>15</v>
      </c>
      <c r="E91" s="19" t="s">
        <v>305</v>
      </c>
      <c r="F91" s="19"/>
      <c r="G91" s="20">
        <f>G92</f>
        <v>654.70000000000005</v>
      </c>
      <c r="H91" s="20">
        <f>H92</f>
        <v>0</v>
      </c>
      <c r="I91" s="20">
        <f>I92</f>
        <v>654.70000000000005</v>
      </c>
      <c r="J91" s="100"/>
      <c r="K91" s="100"/>
      <c r="L91" s="100"/>
      <c r="M91" s="100"/>
      <c r="N91" s="100"/>
      <c r="O91" s="100"/>
      <c r="P91" s="100"/>
      <c r="Q91" s="100"/>
    </row>
    <row r="92" spans="1:17" ht="25.5" x14ac:dyDescent="0.2">
      <c r="A92" s="28" t="s">
        <v>80</v>
      </c>
      <c r="B92" s="28">
        <v>900</v>
      </c>
      <c r="C92" s="24" t="s">
        <v>49</v>
      </c>
      <c r="D92" s="24" t="s">
        <v>15</v>
      </c>
      <c r="E92" s="24" t="s">
        <v>305</v>
      </c>
      <c r="F92" s="24" t="s">
        <v>69</v>
      </c>
      <c r="G92" s="25">
        <v>654.70000000000005</v>
      </c>
      <c r="H92" s="25">
        <v>0</v>
      </c>
      <c r="I92" s="25">
        <v>654.70000000000005</v>
      </c>
      <c r="J92" s="100"/>
      <c r="K92" s="100"/>
      <c r="L92" s="100"/>
      <c r="M92" s="100"/>
      <c r="N92" s="100"/>
      <c r="O92" s="100"/>
      <c r="P92" s="100"/>
      <c r="Q92" s="100"/>
    </row>
    <row r="93" spans="1:17" ht="63.75" x14ac:dyDescent="0.2">
      <c r="A93" s="18" t="s">
        <v>149</v>
      </c>
      <c r="B93" s="22">
        <v>900</v>
      </c>
      <c r="C93" s="19" t="s">
        <v>49</v>
      </c>
      <c r="D93" s="19" t="s">
        <v>15</v>
      </c>
      <c r="E93" s="19" t="s">
        <v>86</v>
      </c>
      <c r="F93" s="19"/>
      <c r="G93" s="20">
        <f>G94</f>
        <v>2618.5</v>
      </c>
      <c r="H93" s="20">
        <f t="shared" ref="H93:I93" si="25">H94</f>
        <v>0</v>
      </c>
      <c r="I93" s="20">
        <f t="shared" si="25"/>
        <v>1309.3</v>
      </c>
      <c r="J93" s="100"/>
      <c r="K93" s="100"/>
      <c r="L93" s="100"/>
      <c r="M93" s="100"/>
      <c r="N93" s="100"/>
      <c r="O93" s="100"/>
      <c r="P93" s="100"/>
      <c r="Q93" s="100"/>
    </row>
    <row r="94" spans="1:17" x14ac:dyDescent="0.2">
      <c r="A94" s="51" t="s">
        <v>67</v>
      </c>
      <c r="B94" s="28">
        <v>900</v>
      </c>
      <c r="C94" s="24" t="s">
        <v>49</v>
      </c>
      <c r="D94" s="24" t="s">
        <v>15</v>
      </c>
      <c r="E94" s="24" t="s">
        <v>86</v>
      </c>
      <c r="F94" s="24" t="s">
        <v>68</v>
      </c>
      <c r="G94" s="20">
        <v>2618.5</v>
      </c>
      <c r="H94" s="20">
        <v>0</v>
      </c>
      <c r="I94" s="20">
        <v>1309.3</v>
      </c>
      <c r="J94" s="100"/>
      <c r="K94" s="100"/>
      <c r="L94" s="100"/>
      <c r="M94" s="100"/>
      <c r="N94" s="100"/>
      <c r="O94" s="100"/>
      <c r="P94" s="100"/>
      <c r="Q94" s="100"/>
    </row>
    <row r="95" spans="1:17" ht="25.5" x14ac:dyDescent="0.2">
      <c r="A95" s="18" t="s">
        <v>288</v>
      </c>
      <c r="B95" s="22">
        <v>900</v>
      </c>
      <c r="C95" s="19" t="s">
        <v>49</v>
      </c>
      <c r="D95" s="19" t="s">
        <v>15</v>
      </c>
      <c r="E95" s="19" t="s">
        <v>287</v>
      </c>
      <c r="F95" s="19"/>
      <c r="G95" s="20">
        <f>G96</f>
        <v>21142.799999999999</v>
      </c>
      <c r="H95" s="20">
        <f>H96</f>
        <v>21142.799999999999</v>
      </c>
      <c r="I95" s="20">
        <f>I96</f>
        <v>21142.799999999999</v>
      </c>
      <c r="J95" s="100"/>
      <c r="K95" s="100"/>
      <c r="L95" s="100"/>
      <c r="M95" s="100"/>
      <c r="N95" s="100"/>
      <c r="O95" s="100"/>
      <c r="P95" s="100"/>
      <c r="Q95" s="100"/>
    </row>
    <row r="96" spans="1:17" s="26" customFormat="1" ht="25.5" x14ac:dyDescent="0.2">
      <c r="A96" s="28" t="s">
        <v>80</v>
      </c>
      <c r="B96" s="28">
        <v>900</v>
      </c>
      <c r="C96" s="24" t="s">
        <v>49</v>
      </c>
      <c r="D96" s="24" t="s">
        <v>15</v>
      </c>
      <c r="E96" s="24" t="s">
        <v>287</v>
      </c>
      <c r="F96" s="24" t="s">
        <v>69</v>
      </c>
      <c r="G96" s="25">
        <v>21142.799999999999</v>
      </c>
      <c r="H96" s="25">
        <v>21142.799999999999</v>
      </c>
      <c r="I96" s="25">
        <v>21142.799999999999</v>
      </c>
      <c r="J96" s="101"/>
      <c r="K96" s="101"/>
      <c r="L96" s="101"/>
      <c r="M96" s="101"/>
      <c r="N96" s="101"/>
      <c r="O96" s="101"/>
      <c r="P96" s="101"/>
      <c r="Q96" s="101"/>
    </row>
    <row r="97" spans="1:17" s="21" customFormat="1" ht="38.25" x14ac:dyDescent="0.2">
      <c r="A97" s="18" t="s">
        <v>278</v>
      </c>
      <c r="B97" s="22">
        <v>900</v>
      </c>
      <c r="C97" s="19" t="s">
        <v>49</v>
      </c>
      <c r="D97" s="19" t="s">
        <v>15</v>
      </c>
      <c r="E97" s="19" t="s">
        <v>140</v>
      </c>
      <c r="F97" s="19"/>
      <c r="G97" s="20">
        <f>G98</f>
        <v>2000</v>
      </c>
      <c r="H97" s="20">
        <f>H98</f>
        <v>0</v>
      </c>
      <c r="I97" s="20">
        <f>I98</f>
        <v>0</v>
      </c>
    </row>
    <row r="98" spans="1:17" s="26" customFormat="1" ht="25.5" x14ac:dyDescent="0.2">
      <c r="A98" s="28" t="s">
        <v>80</v>
      </c>
      <c r="B98" s="31">
        <v>900</v>
      </c>
      <c r="C98" s="24" t="s">
        <v>49</v>
      </c>
      <c r="D98" s="24" t="s">
        <v>15</v>
      </c>
      <c r="E98" s="24" t="s">
        <v>140</v>
      </c>
      <c r="F98" s="24" t="s">
        <v>69</v>
      </c>
      <c r="G98" s="25">
        <v>2000</v>
      </c>
      <c r="H98" s="54"/>
      <c r="I98" s="54"/>
    </row>
    <row r="99" spans="1:17" ht="25.5" x14ac:dyDescent="0.2">
      <c r="A99" s="18" t="s">
        <v>312</v>
      </c>
      <c r="B99" s="22">
        <v>900</v>
      </c>
      <c r="C99" s="19" t="s">
        <v>49</v>
      </c>
      <c r="D99" s="19" t="s">
        <v>15</v>
      </c>
      <c r="E99" s="19" t="s">
        <v>311</v>
      </c>
      <c r="F99" s="19"/>
      <c r="G99" s="20">
        <f>G100</f>
        <v>1966.3</v>
      </c>
      <c r="H99" s="20">
        <f>H100</f>
        <v>1966.3</v>
      </c>
      <c r="I99" s="20">
        <f>I100</f>
        <v>1966.3</v>
      </c>
      <c r="J99" s="100"/>
      <c r="K99" s="100"/>
      <c r="L99" s="100"/>
      <c r="M99" s="100"/>
      <c r="N99" s="100"/>
      <c r="O99" s="100"/>
      <c r="P99" s="100"/>
      <c r="Q99" s="100"/>
    </row>
    <row r="100" spans="1:17" s="26" customFormat="1" x14ac:dyDescent="0.2">
      <c r="A100" s="51" t="s">
        <v>67</v>
      </c>
      <c r="B100" s="31">
        <v>900</v>
      </c>
      <c r="C100" s="24" t="s">
        <v>49</v>
      </c>
      <c r="D100" s="24" t="s">
        <v>15</v>
      </c>
      <c r="E100" s="24" t="s">
        <v>311</v>
      </c>
      <c r="F100" s="29">
        <v>300</v>
      </c>
      <c r="G100" s="25">
        <v>1966.3</v>
      </c>
      <c r="H100" s="25">
        <v>1966.3</v>
      </c>
      <c r="I100" s="25">
        <v>1966.3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s="9" customFormat="1" x14ac:dyDescent="0.2">
      <c r="A101" s="11" t="s">
        <v>55</v>
      </c>
      <c r="B101" s="14">
        <v>900</v>
      </c>
      <c r="C101" s="8" t="s">
        <v>49</v>
      </c>
      <c r="D101" s="8" t="s">
        <v>48</v>
      </c>
      <c r="E101" s="8"/>
      <c r="F101" s="8"/>
      <c r="G101" s="4">
        <f>G102</f>
        <v>112.3</v>
      </c>
      <c r="H101" s="4">
        <f t="shared" ref="H101:I101" si="26">H102</f>
        <v>0</v>
      </c>
      <c r="I101" s="4">
        <f t="shared" si="26"/>
        <v>0</v>
      </c>
    </row>
    <row r="102" spans="1:17" s="21" customFormat="1" x14ac:dyDescent="0.2">
      <c r="A102" s="18" t="s">
        <v>153</v>
      </c>
      <c r="B102" s="22">
        <v>900</v>
      </c>
      <c r="C102" s="19" t="s">
        <v>49</v>
      </c>
      <c r="D102" s="19" t="s">
        <v>48</v>
      </c>
      <c r="E102" s="19" t="s">
        <v>152</v>
      </c>
      <c r="F102" s="19"/>
      <c r="G102" s="20">
        <f>G104+G103</f>
        <v>112.3</v>
      </c>
      <c r="H102" s="20">
        <f>H104+H103</f>
        <v>0</v>
      </c>
      <c r="I102" s="20">
        <f>I104+I103</f>
        <v>0</v>
      </c>
    </row>
    <row r="103" spans="1:17" s="26" customFormat="1" ht="25.5" x14ac:dyDescent="0.2">
      <c r="A103" s="28" t="s">
        <v>74</v>
      </c>
      <c r="B103" s="23">
        <v>900</v>
      </c>
      <c r="C103" s="24" t="s">
        <v>49</v>
      </c>
      <c r="D103" s="24" t="s">
        <v>48</v>
      </c>
      <c r="E103" s="24" t="s">
        <v>152</v>
      </c>
      <c r="F103" s="27" t="s">
        <v>66</v>
      </c>
      <c r="G103" s="25">
        <v>0.6</v>
      </c>
      <c r="H103" s="25"/>
      <c r="I103" s="25"/>
    </row>
    <row r="104" spans="1:17" s="26" customFormat="1" x14ac:dyDescent="0.2">
      <c r="A104" s="28" t="s">
        <v>67</v>
      </c>
      <c r="B104" s="31">
        <v>900</v>
      </c>
      <c r="C104" s="24" t="s">
        <v>49</v>
      </c>
      <c r="D104" s="24" t="s">
        <v>48</v>
      </c>
      <c r="E104" s="24" t="s">
        <v>152</v>
      </c>
      <c r="F104" s="24" t="s">
        <v>68</v>
      </c>
      <c r="G104" s="25">
        <v>111.7</v>
      </c>
      <c r="H104" s="25"/>
      <c r="I104" s="25"/>
    </row>
    <row r="105" spans="1:17" s="212" customFormat="1" ht="16.5" customHeight="1" x14ac:dyDescent="0.2">
      <c r="A105" s="87" t="s">
        <v>571</v>
      </c>
      <c r="B105" s="208">
        <v>900</v>
      </c>
      <c r="C105" s="209" t="s">
        <v>22</v>
      </c>
      <c r="D105" s="209"/>
      <c r="E105" s="209"/>
      <c r="F105" s="209"/>
      <c r="G105" s="60">
        <f>G106</f>
        <v>1351.6</v>
      </c>
      <c r="H105" s="60">
        <f t="shared" ref="H105:I105" si="27">H106</f>
        <v>0</v>
      </c>
      <c r="I105" s="60">
        <f t="shared" si="27"/>
        <v>0</v>
      </c>
      <c r="J105" s="202"/>
      <c r="K105" s="202"/>
      <c r="L105" s="202"/>
      <c r="M105" s="202"/>
      <c r="N105" s="202"/>
      <c r="O105" s="202"/>
      <c r="P105" s="202"/>
      <c r="Q105" s="202"/>
    </row>
    <row r="106" spans="1:17" s="213" customFormat="1" ht="16.5" customHeight="1" x14ac:dyDescent="0.2">
      <c r="A106" s="62" t="s">
        <v>572</v>
      </c>
      <c r="B106" s="210">
        <v>900</v>
      </c>
      <c r="C106" s="211" t="s">
        <v>22</v>
      </c>
      <c r="D106" s="211" t="s">
        <v>13</v>
      </c>
      <c r="E106" s="211"/>
      <c r="F106" s="211"/>
      <c r="G106" s="65">
        <f>G107</f>
        <v>1351.6</v>
      </c>
      <c r="H106" s="65">
        <f t="shared" ref="H106:I106" si="28">H107</f>
        <v>0</v>
      </c>
      <c r="I106" s="65">
        <f t="shared" si="28"/>
        <v>0</v>
      </c>
      <c r="J106" s="201"/>
      <c r="K106" s="201"/>
      <c r="L106" s="201"/>
      <c r="M106" s="201"/>
      <c r="N106" s="201"/>
      <c r="O106" s="201"/>
      <c r="P106" s="201"/>
      <c r="Q106" s="201"/>
    </row>
    <row r="107" spans="1:17" s="71" customFormat="1" ht="51" x14ac:dyDescent="0.2">
      <c r="A107" s="67" t="s">
        <v>568</v>
      </c>
      <c r="B107" s="68">
        <v>900</v>
      </c>
      <c r="C107" s="69" t="s">
        <v>22</v>
      </c>
      <c r="D107" s="69" t="s">
        <v>13</v>
      </c>
      <c r="E107" s="69" t="s">
        <v>569</v>
      </c>
      <c r="F107" s="69"/>
      <c r="G107" s="70">
        <f>G108</f>
        <v>1351.6</v>
      </c>
      <c r="H107" s="70">
        <f t="shared" ref="H107:I107" si="29">H108</f>
        <v>0</v>
      </c>
      <c r="I107" s="70">
        <f t="shared" si="29"/>
        <v>0</v>
      </c>
      <c r="J107" s="100"/>
      <c r="K107" s="100"/>
      <c r="L107" s="100"/>
      <c r="M107" s="100"/>
      <c r="N107" s="100"/>
      <c r="O107" s="100"/>
      <c r="P107" s="100"/>
      <c r="Q107" s="100"/>
    </row>
    <row r="108" spans="1:17" s="76" customFormat="1" ht="17.25" customHeight="1" x14ac:dyDescent="0.2">
      <c r="A108" s="67" t="s">
        <v>70</v>
      </c>
      <c r="B108" s="78">
        <v>900</v>
      </c>
      <c r="C108" s="74" t="s">
        <v>22</v>
      </c>
      <c r="D108" s="74" t="s">
        <v>13</v>
      </c>
      <c r="E108" s="74" t="s">
        <v>573</v>
      </c>
      <c r="F108" s="74" t="s">
        <v>71</v>
      </c>
      <c r="G108" s="54">
        <v>1351.6</v>
      </c>
      <c r="H108" s="54"/>
      <c r="I108" s="54"/>
      <c r="J108" s="101"/>
      <c r="K108" s="101"/>
      <c r="L108" s="101"/>
      <c r="M108" s="101"/>
      <c r="N108" s="101"/>
      <c r="O108" s="101"/>
      <c r="P108" s="101"/>
      <c r="Q108" s="101"/>
    </row>
    <row r="109" spans="1:17" s="3" customFormat="1" ht="25.5" x14ac:dyDescent="0.2">
      <c r="A109" s="13" t="s">
        <v>19</v>
      </c>
      <c r="B109" s="41">
        <v>900</v>
      </c>
      <c r="C109" s="1" t="s">
        <v>59</v>
      </c>
      <c r="D109" s="1"/>
      <c r="E109" s="1"/>
      <c r="F109" s="1"/>
      <c r="G109" s="2">
        <f t="shared" ref="G109:I111" si="30">G110</f>
        <v>2136.1</v>
      </c>
      <c r="H109" s="2">
        <f t="shared" si="30"/>
        <v>2123</v>
      </c>
      <c r="I109" s="2">
        <f t="shared" si="30"/>
        <v>2105</v>
      </c>
    </row>
    <row r="110" spans="1:17" s="9" customFormat="1" ht="25.5" x14ac:dyDescent="0.2">
      <c r="A110" s="11" t="s">
        <v>3</v>
      </c>
      <c r="B110" s="14">
        <v>900</v>
      </c>
      <c r="C110" s="8" t="s">
        <v>59</v>
      </c>
      <c r="D110" s="8" t="s">
        <v>11</v>
      </c>
      <c r="E110" s="8"/>
      <c r="F110" s="8"/>
      <c r="G110" s="4">
        <f t="shared" si="30"/>
        <v>2136.1</v>
      </c>
      <c r="H110" s="4">
        <f t="shared" si="30"/>
        <v>2123</v>
      </c>
      <c r="I110" s="4">
        <f t="shared" si="30"/>
        <v>2105</v>
      </c>
    </row>
    <row r="111" spans="1:17" ht="25.5" x14ac:dyDescent="0.2">
      <c r="A111" s="18" t="s">
        <v>155</v>
      </c>
      <c r="B111" s="22">
        <v>900</v>
      </c>
      <c r="C111" s="19" t="s">
        <v>59</v>
      </c>
      <c r="D111" s="19" t="s">
        <v>11</v>
      </c>
      <c r="E111" s="19" t="s">
        <v>154</v>
      </c>
      <c r="F111" s="19"/>
      <c r="G111" s="20">
        <f t="shared" si="30"/>
        <v>2136.1</v>
      </c>
      <c r="H111" s="20">
        <f t="shared" si="30"/>
        <v>2123</v>
      </c>
      <c r="I111" s="20">
        <f t="shared" si="30"/>
        <v>2105</v>
      </c>
      <c r="J111" s="100"/>
      <c r="K111" s="100"/>
      <c r="L111" s="100"/>
      <c r="M111" s="100"/>
      <c r="N111" s="100"/>
      <c r="O111" s="100"/>
      <c r="P111" s="100"/>
      <c r="Q111" s="100"/>
    </row>
    <row r="112" spans="1:17" s="26" customFormat="1" x14ac:dyDescent="0.2">
      <c r="A112" s="28" t="s">
        <v>72</v>
      </c>
      <c r="B112" s="31">
        <v>900</v>
      </c>
      <c r="C112" s="24" t="s">
        <v>59</v>
      </c>
      <c r="D112" s="24" t="s">
        <v>11</v>
      </c>
      <c r="E112" s="19" t="s">
        <v>154</v>
      </c>
      <c r="F112" s="24" t="s">
        <v>73</v>
      </c>
      <c r="G112" s="25">
        <v>2136.1</v>
      </c>
      <c r="H112" s="25">
        <v>2123</v>
      </c>
      <c r="I112" s="25">
        <v>2105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s="21" customFormat="1" x14ac:dyDescent="0.2">
      <c r="A113" s="18" t="s">
        <v>298</v>
      </c>
      <c r="B113" s="22">
        <v>900</v>
      </c>
      <c r="C113" s="19" t="s">
        <v>299</v>
      </c>
      <c r="D113" s="19"/>
      <c r="E113" s="19"/>
      <c r="F113" s="19"/>
      <c r="G113" s="20"/>
      <c r="H113" s="20">
        <f t="shared" ref="H113:I115" si="31">H114</f>
        <v>23132.9</v>
      </c>
      <c r="I113" s="20">
        <f t="shared" si="31"/>
        <v>44191.199999999997</v>
      </c>
      <c r="J113" s="100"/>
      <c r="K113" s="100"/>
      <c r="L113" s="100"/>
      <c r="M113" s="100"/>
      <c r="N113" s="100"/>
      <c r="O113" s="100"/>
      <c r="P113" s="100"/>
      <c r="Q113" s="100"/>
    </row>
    <row r="114" spans="1:17" x14ac:dyDescent="0.2">
      <c r="A114" s="18" t="s">
        <v>298</v>
      </c>
      <c r="B114" s="22">
        <v>900</v>
      </c>
      <c r="C114" s="19" t="s">
        <v>299</v>
      </c>
      <c r="D114" s="16" t="s">
        <v>299</v>
      </c>
      <c r="E114" s="19"/>
      <c r="F114" s="19"/>
      <c r="G114" s="20"/>
      <c r="H114" s="20">
        <f t="shared" si="31"/>
        <v>23132.9</v>
      </c>
      <c r="I114" s="20">
        <f t="shared" si="31"/>
        <v>44191.199999999997</v>
      </c>
      <c r="J114" s="100"/>
      <c r="K114" s="100"/>
      <c r="L114" s="100"/>
      <c r="M114" s="100"/>
      <c r="N114" s="100"/>
      <c r="O114" s="100"/>
      <c r="P114" s="100"/>
      <c r="Q114" s="100"/>
    </row>
    <row r="115" spans="1:17" x14ac:dyDescent="0.2">
      <c r="A115" s="18" t="s">
        <v>298</v>
      </c>
      <c r="B115" s="22">
        <v>900</v>
      </c>
      <c r="C115" s="19" t="s">
        <v>299</v>
      </c>
      <c r="D115" s="19" t="s">
        <v>299</v>
      </c>
      <c r="E115" s="19" t="s">
        <v>300</v>
      </c>
      <c r="F115" s="19"/>
      <c r="G115" s="20"/>
      <c r="H115" s="20">
        <f t="shared" si="31"/>
        <v>23132.9</v>
      </c>
      <c r="I115" s="20">
        <f t="shared" si="31"/>
        <v>44191.199999999997</v>
      </c>
      <c r="J115" s="100"/>
      <c r="K115" s="100"/>
      <c r="L115" s="100"/>
      <c r="M115" s="100"/>
      <c r="N115" s="100"/>
      <c r="O115" s="100"/>
      <c r="P115" s="100"/>
      <c r="Q115" s="100"/>
    </row>
    <row r="116" spans="1:17" s="26" customFormat="1" x14ac:dyDescent="0.2">
      <c r="A116" s="28" t="s">
        <v>298</v>
      </c>
      <c r="B116" s="31">
        <v>900</v>
      </c>
      <c r="C116" s="24" t="s">
        <v>299</v>
      </c>
      <c r="D116" s="24" t="s">
        <v>299</v>
      </c>
      <c r="E116" s="19" t="s">
        <v>300</v>
      </c>
      <c r="F116" s="24" t="s">
        <v>71</v>
      </c>
      <c r="G116" s="25"/>
      <c r="H116" s="25">
        <v>23132.9</v>
      </c>
      <c r="I116" s="25">
        <v>44191.199999999997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s="9" customFormat="1" ht="30" customHeight="1" x14ac:dyDescent="0.2">
      <c r="A117" s="39" t="s">
        <v>32</v>
      </c>
      <c r="B117" s="36">
        <v>904</v>
      </c>
      <c r="C117" s="40"/>
      <c r="D117" s="40"/>
      <c r="E117" s="40"/>
      <c r="F117" s="40"/>
      <c r="G117" s="38">
        <f>G118</f>
        <v>72599.3</v>
      </c>
      <c r="H117" s="38">
        <f t="shared" ref="H117:I117" si="32">H118</f>
        <v>65465.499999999993</v>
      </c>
      <c r="I117" s="38">
        <f t="shared" si="32"/>
        <v>64510.6</v>
      </c>
    </row>
    <row r="118" spans="1:17" s="3" customFormat="1" x14ac:dyDescent="0.2">
      <c r="A118" s="13" t="s">
        <v>0</v>
      </c>
      <c r="B118" s="41">
        <v>904</v>
      </c>
      <c r="C118" s="1" t="s">
        <v>20</v>
      </c>
      <c r="D118" s="1"/>
      <c r="E118" s="1"/>
      <c r="F118" s="1"/>
      <c r="G118" s="2">
        <f>G119+G130+G134</f>
        <v>72599.3</v>
      </c>
      <c r="H118" s="2">
        <f>H119+H130+H134</f>
        <v>65465.499999999993</v>
      </c>
      <c r="I118" s="2">
        <f>I119+I130+I134</f>
        <v>64510.6</v>
      </c>
      <c r="J118" s="105"/>
      <c r="K118" s="105"/>
      <c r="L118" s="105"/>
      <c r="M118" s="105"/>
      <c r="N118" s="105"/>
      <c r="O118" s="105"/>
      <c r="P118" s="105"/>
      <c r="Q118" s="105"/>
    </row>
    <row r="119" spans="1:17" s="9" customFormat="1" x14ac:dyDescent="0.2">
      <c r="A119" s="11" t="s">
        <v>1</v>
      </c>
      <c r="B119" s="14">
        <v>904</v>
      </c>
      <c r="C119" s="8" t="s">
        <v>20</v>
      </c>
      <c r="D119" s="8" t="s">
        <v>11</v>
      </c>
      <c r="E119" s="8"/>
      <c r="F119" s="8"/>
      <c r="G119" s="4">
        <f>G124+G128+G120+G126+G122</f>
        <v>67552.7</v>
      </c>
      <c r="H119" s="4">
        <f t="shared" ref="H119:I119" si="33">H124+H128+H120+H126+H122</f>
        <v>60883.899999999994</v>
      </c>
      <c r="I119" s="4">
        <f t="shared" si="33"/>
        <v>59929</v>
      </c>
      <c r="J119" s="106"/>
      <c r="K119" s="106"/>
      <c r="L119" s="106"/>
      <c r="M119" s="106"/>
      <c r="N119" s="106"/>
      <c r="O119" s="106"/>
      <c r="P119" s="106"/>
      <c r="Q119" s="106"/>
    </row>
    <row r="120" spans="1:17" s="12" customFormat="1" ht="25.5" x14ac:dyDescent="0.2">
      <c r="A120" s="17" t="s">
        <v>135</v>
      </c>
      <c r="B120" s="43">
        <v>904</v>
      </c>
      <c r="C120" s="19" t="s">
        <v>20</v>
      </c>
      <c r="D120" s="19" t="s">
        <v>11</v>
      </c>
      <c r="E120" s="19" t="s">
        <v>134</v>
      </c>
      <c r="F120" s="5"/>
      <c r="G120" s="6">
        <f>G121</f>
        <v>165</v>
      </c>
      <c r="H120" s="6">
        <f>H121</f>
        <v>0</v>
      </c>
      <c r="I120" s="6">
        <f>I121</f>
        <v>0</v>
      </c>
      <c r="J120" s="107"/>
      <c r="K120" s="107"/>
      <c r="L120" s="107"/>
      <c r="M120" s="107"/>
      <c r="N120" s="107"/>
      <c r="O120" s="107"/>
      <c r="P120" s="107"/>
      <c r="Q120" s="107"/>
    </row>
    <row r="121" spans="1:17" s="26" customFormat="1" ht="25.5" x14ac:dyDescent="0.2">
      <c r="A121" s="28" t="s">
        <v>119</v>
      </c>
      <c r="B121" s="31">
        <v>904</v>
      </c>
      <c r="C121" s="24" t="s">
        <v>20</v>
      </c>
      <c r="D121" s="24" t="s">
        <v>11</v>
      </c>
      <c r="E121" s="24" t="s">
        <v>134</v>
      </c>
      <c r="F121" s="24" t="s">
        <v>63</v>
      </c>
      <c r="G121" s="25">
        <v>165</v>
      </c>
      <c r="H121" s="25"/>
      <c r="I121" s="25"/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18" t="s">
        <v>144</v>
      </c>
      <c r="B122" s="22">
        <v>904</v>
      </c>
      <c r="C122" s="19" t="s">
        <v>20</v>
      </c>
      <c r="D122" s="19" t="s">
        <v>11</v>
      </c>
      <c r="E122" s="24" t="s">
        <v>143</v>
      </c>
      <c r="F122" s="19"/>
      <c r="G122" s="20">
        <f>G123</f>
        <v>4137.2</v>
      </c>
      <c r="H122" s="20">
        <f>H123</f>
        <v>0</v>
      </c>
      <c r="I122" s="20">
        <f>I123</f>
        <v>0</v>
      </c>
      <c r="J122" s="100"/>
      <c r="K122" s="100"/>
      <c r="L122" s="100"/>
      <c r="M122" s="100"/>
      <c r="N122" s="100"/>
      <c r="O122" s="100"/>
      <c r="P122" s="100"/>
      <c r="Q122" s="100"/>
    </row>
    <row r="123" spans="1:17" s="26" customFormat="1" ht="25.5" x14ac:dyDescent="0.2">
      <c r="A123" s="28" t="s">
        <v>80</v>
      </c>
      <c r="B123" s="22">
        <v>904</v>
      </c>
      <c r="C123" s="24" t="s">
        <v>20</v>
      </c>
      <c r="D123" s="24" t="s">
        <v>11</v>
      </c>
      <c r="E123" s="24" t="s">
        <v>143</v>
      </c>
      <c r="F123" s="24" t="s">
        <v>69</v>
      </c>
      <c r="G123" s="25">
        <v>4137.2</v>
      </c>
      <c r="H123" s="25"/>
      <c r="I123" s="25"/>
      <c r="J123" s="101"/>
      <c r="K123" s="101"/>
      <c r="L123" s="101"/>
      <c r="M123" s="101"/>
      <c r="N123" s="101"/>
      <c r="O123" s="101"/>
      <c r="P123" s="101"/>
      <c r="Q123" s="101"/>
    </row>
    <row r="124" spans="1:17" ht="25.5" x14ac:dyDescent="0.2">
      <c r="A124" s="18" t="s">
        <v>159</v>
      </c>
      <c r="B124" s="22">
        <v>904</v>
      </c>
      <c r="C124" s="19" t="s">
        <v>20</v>
      </c>
      <c r="D124" s="19" t="s">
        <v>11</v>
      </c>
      <c r="E124" s="19" t="s">
        <v>158</v>
      </c>
      <c r="F124" s="19"/>
      <c r="G124" s="20">
        <f>G125</f>
        <v>15625.1</v>
      </c>
      <c r="H124" s="20">
        <f>H125</f>
        <v>14556.2</v>
      </c>
      <c r="I124" s="20">
        <f>I125</f>
        <v>14078.7</v>
      </c>
      <c r="J124" s="100"/>
      <c r="K124" s="100"/>
      <c r="L124" s="100"/>
      <c r="M124" s="100"/>
      <c r="N124" s="100"/>
      <c r="O124" s="100"/>
      <c r="P124" s="100"/>
      <c r="Q124" s="100"/>
    </row>
    <row r="125" spans="1:17" s="26" customFormat="1" ht="25.5" x14ac:dyDescent="0.2">
      <c r="A125" s="28" t="s">
        <v>119</v>
      </c>
      <c r="B125" s="31">
        <v>904</v>
      </c>
      <c r="C125" s="24" t="s">
        <v>20</v>
      </c>
      <c r="D125" s="24" t="s">
        <v>11</v>
      </c>
      <c r="E125" s="24" t="s">
        <v>158</v>
      </c>
      <c r="F125" s="24" t="s">
        <v>63</v>
      </c>
      <c r="G125" s="25">
        <v>15625.1</v>
      </c>
      <c r="H125" s="25">
        <v>14556.2</v>
      </c>
      <c r="I125" s="25">
        <v>14078.7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s="21" customFormat="1" ht="38.25" x14ac:dyDescent="0.2">
      <c r="A126" s="18" t="s">
        <v>161</v>
      </c>
      <c r="B126" s="22">
        <v>904</v>
      </c>
      <c r="C126" s="19" t="s">
        <v>20</v>
      </c>
      <c r="D126" s="19" t="s">
        <v>11</v>
      </c>
      <c r="E126" s="19" t="s">
        <v>160</v>
      </c>
      <c r="F126" s="19"/>
      <c r="G126" s="20">
        <f>G127</f>
        <v>150</v>
      </c>
      <c r="H126" s="20">
        <f>H127</f>
        <v>0</v>
      </c>
      <c r="I126" s="20">
        <f>I127</f>
        <v>0</v>
      </c>
    </row>
    <row r="127" spans="1:17" s="26" customFormat="1" ht="25.5" x14ac:dyDescent="0.2">
      <c r="A127" s="28" t="s">
        <v>74</v>
      </c>
      <c r="B127" s="32">
        <v>904</v>
      </c>
      <c r="C127" s="24" t="s">
        <v>20</v>
      </c>
      <c r="D127" s="24" t="s">
        <v>11</v>
      </c>
      <c r="E127" s="24" t="s">
        <v>160</v>
      </c>
      <c r="F127" s="27" t="s">
        <v>66</v>
      </c>
      <c r="G127" s="25">
        <v>150</v>
      </c>
      <c r="H127" s="25"/>
      <c r="I127" s="25"/>
    </row>
    <row r="128" spans="1:17" ht="23.25" customHeight="1" x14ac:dyDescent="0.2">
      <c r="A128" s="18" t="s">
        <v>292</v>
      </c>
      <c r="B128" s="22">
        <v>904</v>
      </c>
      <c r="C128" s="19" t="s">
        <v>20</v>
      </c>
      <c r="D128" s="19" t="s">
        <v>11</v>
      </c>
      <c r="E128" s="19" t="s">
        <v>293</v>
      </c>
      <c r="F128" s="19"/>
      <c r="G128" s="20">
        <f>G129</f>
        <v>47475.4</v>
      </c>
      <c r="H128" s="20">
        <f>H129</f>
        <v>46327.7</v>
      </c>
      <c r="I128" s="20">
        <f>I129</f>
        <v>45850.3</v>
      </c>
      <c r="J128" s="100"/>
      <c r="K128" s="100"/>
      <c r="L128" s="100"/>
      <c r="M128" s="100"/>
      <c r="N128" s="100"/>
      <c r="O128" s="100"/>
      <c r="P128" s="100"/>
      <c r="Q128" s="100"/>
    </row>
    <row r="129" spans="1:17" s="26" customFormat="1" ht="25.5" x14ac:dyDescent="0.2">
      <c r="A129" s="28" t="s">
        <v>119</v>
      </c>
      <c r="B129" s="32">
        <v>904</v>
      </c>
      <c r="C129" s="24" t="s">
        <v>20</v>
      </c>
      <c r="D129" s="24" t="s">
        <v>11</v>
      </c>
      <c r="E129" s="24" t="s">
        <v>293</v>
      </c>
      <c r="F129" s="27" t="s">
        <v>63</v>
      </c>
      <c r="G129" s="25">
        <v>47475.4</v>
      </c>
      <c r="H129" s="25">
        <v>46327.7</v>
      </c>
      <c r="I129" s="25">
        <v>45850.3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s="9" customFormat="1" x14ac:dyDescent="0.2">
      <c r="A130" s="11" t="s">
        <v>2</v>
      </c>
      <c r="B130" s="14">
        <v>904</v>
      </c>
      <c r="C130" s="8" t="s">
        <v>20</v>
      </c>
      <c r="D130" s="8" t="s">
        <v>13</v>
      </c>
      <c r="E130" s="8"/>
      <c r="F130" s="8"/>
      <c r="G130" s="4">
        <f t="shared" ref="G130:I130" si="34">G131</f>
        <v>360</v>
      </c>
      <c r="H130" s="4">
        <f t="shared" si="34"/>
        <v>0</v>
      </c>
      <c r="I130" s="4">
        <f t="shared" si="34"/>
        <v>0</v>
      </c>
      <c r="J130" s="106"/>
      <c r="K130" s="106"/>
      <c r="L130" s="106"/>
      <c r="M130" s="106"/>
      <c r="N130" s="106"/>
      <c r="O130" s="106"/>
      <c r="P130" s="106"/>
      <c r="Q130" s="106"/>
    </row>
    <row r="131" spans="1:17" ht="25.5" x14ac:dyDescent="0.2">
      <c r="A131" s="18" t="s">
        <v>163</v>
      </c>
      <c r="B131" s="22">
        <v>904</v>
      </c>
      <c r="C131" s="19" t="s">
        <v>20</v>
      </c>
      <c r="D131" s="19" t="s">
        <v>13</v>
      </c>
      <c r="E131" s="19" t="s">
        <v>162</v>
      </c>
      <c r="F131" s="19"/>
      <c r="G131" s="20">
        <f>G133+G132</f>
        <v>360</v>
      </c>
      <c r="H131" s="20">
        <f t="shared" ref="H131:I131" si="35">H133+H132</f>
        <v>0</v>
      </c>
      <c r="I131" s="20">
        <f t="shared" si="35"/>
        <v>0</v>
      </c>
      <c r="J131" s="100"/>
      <c r="K131" s="100"/>
      <c r="L131" s="100"/>
      <c r="M131" s="100"/>
      <c r="N131" s="100"/>
      <c r="O131" s="100"/>
      <c r="P131" s="100"/>
      <c r="Q131" s="100"/>
    </row>
    <row r="132" spans="1:17" ht="53.25" customHeight="1" x14ac:dyDescent="0.2">
      <c r="A132" s="30" t="s">
        <v>64</v>
      </c>
      <c r="B132" s="32">
        <v>904</v>
      </c>
      <c r="C132" s="24" t="s">
        <v>20</v>
      </c>
      <c r="D132" s="24" t="s">
        <v>13</v>
      </c>
      <c r="E132" s="24" t="s">
        <v>162</v>
      </c>
      <c r="F132" s="19" t="s">
        <v>65</v>
      </c>
      <c r="G132" s="20">
        <v>50</v>
      </c>
      <c r="H132" s="20"/>
      <c r="I132" s="20"/>
      <c r="J132" s="100"/>
      <c r="K132" s="100"/>
      <c r="L132" s="100"/>
      <c r="M132" s="100"/>
      <c r="N132" s="100"/>
      <c r="O132" s="100"/>
      <c r="P132" s="100"/>
      <c r="Q132" s="100"/>
    </row>
    <row r="133" spans="1:17" s="26" customFormat="1" ht="25.5" x14ac:dyDescent="0.2">
      <c r="A133" s="28" t="s">
        <v>74</v>
      </c>
      <c r="B133" s="32">
        <v>904</v>
      </c>
      <c r="C133" s="24" t="s">
        <v>20</v>
      </c>
      <c r="D133" s="24" t="s">
        <v>13</v>
      </c>
      <c r="E133" s="24" t="s">
        <v>162</v>
      </c>
      <c r="F133" s="27" t="s">
        <v>66</v>
      </c>
      <c r="G133" s="25">
        <v>310</v>
      </c>
      <c r="H133" s="25"/>
      <c r="I133" s="25"/>
      <c r="J133" s="101"/>
      <c r="K133" s="101"/>
      <c r="L133" s="101"/>
      <c r="M133" s="101"/>
      <c r="N133" s="101"/>
      <c r="O133" s="101"/>
      <c r="P133" s="101"/>
      <c r="Q133" s="101"/>
    </row>
    <row r="134" spans="1:17" s="9" customFormat="1" ht="25.5" x14ac:dyDescent="0.2">
      <c r="A134" s="11" t="s">
        <v>4</v>
      </c>
      <c r="B134" s="14">
        <v>904</v>
      </c>
      <c r="C134" s="8" t="s">
        <v>20</v>
      </c>
      <c r="D134" s="8" t="s">
        <v>29</v>
      </c>
      <c r="E134" s="8"/>
      <c r="F134" s="8"/>
      <c r="G134" s="4">
        <f>G135+G138</f>
        <v>4686.6000000000004</v>
      </c>
      <c r="H134" s="4">
        <f>H135+H138</f>
        <v>4581.6000000000004</v>
      </c>
      <c r="I134" s="4">
        <f>I135+I138</f>
        <v>4581.6000000000004</v>
      </c>
    </row>
    <row r="135" spans="1:17" ht="25.5" x14ac:dyDescent="0.2">
      <c r="A135" s="18" t="s">
        <v>159</v>
      </c>
      <c r="B135" s="22">
        <v>904</v>
      </c>
      <c r="C135" s="19" t="s">
        <v>20</v>
      </c>
      <c r="D135" s="19" t="s">
        <v>29</v>
      </c>
      <c r="E135" s="19" t="s">
        <v>164</v>
      </c>
      <c r="F135" s="19"/>
      <c r="G135" s="20">
        <f>G136+G137</f>
        <v>1263.3</v>
      </c>
      <c r="H135" s="20">
        <f>H136+H137</f>
        <v>1258.3</v>
      </c>
      <c r="I135" s="20">
        <f>I136+I137</f>
        <v>1258.3</v>
      </c>
      <c r="J135" s="100"/>
      <c r="K135" s="100"/>
      <c r="L135" s="100"/>
      <c r="M135" s="100"/>
      <c r="N135" s="100"/>
      <c r="O135" s="100"/>
      <c r="P135" s="100"/>
      <c r="Q135" s="100"/>
    </row>
    <row r="136" spans="1:17" s="26" customFormat="1" ht="50.25" customHeight="1" x14ac:dyDescent="0.2">
      <c r="A136" s="30" t="s">
        <v>64</v>
      </c>
      <c r="B136" s="32">
        <v>904</v>
      </c>
      <c r="C136" s="24" t="s">
        <v>20</v>
      </c>
      <c r="D136" s="24" t="s">
        <v>29</v>
      </c>
      <c r="E136" s="24" t="s">
        <v>164</v>
      </c>
      <c r="F136" s="27" t="s">
        <v>65</v>
      </c>
      <c r="G136" s="25">
        <v>1186.8</v>
      </c>
      <c r="H136" s="25">
        <v>1186.8</v>
      </c>
      <c r="I136" s="25">
        <v>1186.8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s="26" customFormat="1" ht="25.5" x14ac:dyDescent="0.2">
      <c r="A137" s="28" t="s">
        <v>74</v>
      </c>
      <c r="B137" s="32">
        <v>904</v>
      </c>
      <c r="C137" s="24" t="s">
        <v>20</v>
      </c>
      <c r="D137" s="24" t="s">
        <v>29</v>
      </c>
      <c r="E137" s="24" t="s">
        <v>164</v>
      </c>
      <c r="F137" s="27" t="s">
        <v>66</v>
      </c>
      <c r="G137" s="25">
        <f>71.5+5</f>
        <v>76.5</v>
      </c>
      <c r="H137" s="25">
        <v>71.5</v>
      </c>
      <c r="I137" s="25">
        <v>71.5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25.5" x14ac:dyDescent="0.2">
      <c r="A138" s="18" t="s">
        <v>159</v>
      </c>
      <c r="B138" s="22">
        <v>904</v>
      </c>
      <c r="C138" s="19" t="s">
        <v>20</v>
      </c>
      <c r="D138" s="19" t="s">
        <v>29</v>
      </c>
      <c r="E138" s="19" t="s">
        <v>321</v>
      </c>
      <c r="F138" s="19"/>
      <c r="G138" s="20">
        <f>G139</f>
        <v>3423.3</v>
      </c>
      <c r="H138" s="20">
        <f>H139</f>
        <v>3323.3</v>
      </c>
      <c r="I138" s="20">
        <f>I139</f>
        <v>3323.3</v>
      </c>
      <c r="J138" s="100"/>
      <c r="K138" s="100"/>
      <c r="L138" s="100"/>
      <c r="M138" s="100"/>
      <c r="N138" s="100"/>
      <c r="O138" s="100"/>
      <c r="P138" s="100"/>
      <c r="Q138" s="100"/>
    </row>
    <row r="139" spans="1:17" s="26" customFormat="1" ht="27.75" customHeight="1" x14ac:dyDescent="0.2">
      <c r="A139" s="28" t="s">
        <v>119</v>
      </c>
      <c r="B139" s="32">
        <v>904</v>
      </c>
      <c r="C139" s="24" t="s">
        <v>20</v>
      </c>
      <c r="D139" s="24" t="s">
        <v>29</v>
      </c>
      <c r="E139" s="24" t="s">
        <v>321</v>
      </c>
      <c r="F139" s="27" t="s">
        <v>63</v>
      </c>
      <c r="G139" s="25">
        <v>3423.3</v>
      </c>
      <c r="H139" s="25">
        <v>3323.3</v>
      </c>
      <c r="I139" s="25">
        <v>3323.3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s="9" customFormat="1" ht="30.75" customHeight="1" x14ac:dyDescent="0.2">
      <c r="A140" s="39" t="s">
        <v>45</v>
      </c>
      <c r="B140" s="36">
        <v>905</v>
      </c>
      <c r="C140" s="40"/>
      <c r="D140" s="40"/>
      <c r="E140" s="40"/>
      <c r="F140" s="40"/>
      <c r="G140" s="38">
        <f>G141+G159+G169+G165</f>
        <v>99722.8</v>
      </c>
      <c r="H140" s="38">
        <f>H141+H159+H169+H165</f>
        <v>91456.2</v>
      </c>
      <c r="I140" s="38">
        <f>I141+I159+I169+I165</f>
        <v>91580.2</v>
      </c>
    </row>
    <row r="141" spans="1:17" s="3" customFormat="1" x14ac:dyDescent="0.2">
      <c r="A141" s="13" t="s">
        <v>58</v>
      </c>
      <c r="B141" s="41">
        <v>905</v>
      </c>
      <c r="C141" s="1" t="s">
        <v>11</v>
      </c>
      <c r="D141" s="1"/>
      <c r="E141" s="1"/>
      <c r="F141" s="1"/>
      <c r="G141" s="2">
        <f>G142</f>
        <v>14130.7</v>
      </c>
      <c r="H141" s="2">
        <f>H142</f>
        <v>9065.2000000000007</v>
      </c>
      <c r="I141" s="2">
        <f>I142</f>
        <v>9065.2000000000007</v>
      </c>
      <c r="J141" s="105"/>
      <c r="K141" s="105"/>
      <c r="L141" s="105"/>
      <c r="M141" s="105"/>
      <c r="N141" s="105"/>
      <c r="O141" s="105"/>
      <c r="P141" s="105"/>
      <c r="Q141" s="105"/>
    </row>
    <row r="142" spans="1:17" s="9" customFormat="1" x14ac:dyDescent="0.2">
      <c r="A142" s="11" t="s">
        <v>23</v>
      </c>
      <c r="B142" s="14">
        <v>905</v>
      </c>
      <c r="C142" s="8" t="s">
        <v>11</v>
      </c>
      <c r="D142" s="8" t="s">
        <v>59</v>
      </c>
      <c r="E142" s="8"/>
      <c r="F142" s="8"/>
      <c r="G142" s="4">
        <f>G143+G145+G149+G152+G154+G156+G147</f>
        <v>14130.7</v>
      </c>
      <c r="H142" s="4">
        <f>H143+H145+H149+H152+H154+H156+H147</f>
        <v>9065.2000000000007</v>
      </c>
      <c r="I142" s="4">
        <f>I143+I145+I149+I152+I154+I156+I147</f>
        <v>9065.2000000000007</v>
      </c>
      <c r="J142" s="106"/>
      <c r="K142" s="106"/>
      <c r="L142" s="106"/>
      <c r="M142" s="106"/>
      <c r="N142" s="106"/>
      <c r="O142" s="106"/>
      <c r="P142" s="106"/>
      <c r="Q142" s="106"/>
    </row>
    <row r="143" spans="1:17" ht="25.5" x14ac:dyDescent="0.2">
      <c r="A143" s="18" t="s">
        <v>166</v>
      </c>
      <c r="B143" s="22">
        <v>905</v>
      </c>
      <c r="C143" s="19" t="s">
        <v>11</v>
      </c>
      <c r="D143" s="19" t="s">
        <v>59</v>
      </c>
      <c r="E143" s="5" t="s">
        <v>165</v>
      </c>
      <c r="F143" s="5"/>
      <c r="G143" s="6">
        <f>G144</f>
        <v>500</v>
      </c>
      <c r="H143" s="6">
        <f>H144</f>
        <v>0</v>
      </c>
      <c r="I143" s="6">
        <f>I144</f>
        <v>0</v>
      </c>
      <c r="J143" s="100"/>
      <c r="K143" s="100"/>
      <c r="L143" s="100"/>
      <c r="M143" s="100"/>
      <c r="N143" s="100"/>
      <c r="O143" s="100"/>
      <c r="P143" s="100"/>
      <c r="Q143" s="100"/>
    </row>
    <row r="144" spans="1:17" s="26" customFormat="1" ht="25.5" x14ac:dyDescent="0.2">
      <c r="A144" s="28" t="s">
        <v>74</v>
      </c>
      <c r="B144" s="32">
        <v>905</v>
      </c>
      <c r="C144" s="24" t="s">
        <v>11</v>
      </c>
      <c r="D144" s="24" t="s">
        <v>59</v>
      </c>
      <c r="E144" s="24" t="s">
        <v>165</v>
      </c>
      <c r="F144" s="27" t="s">
        <v>66</v>
      </c>
      <c r="G144" s="25">
        <v>500</v>
      </c>
      <c r="H144" s="25"/>
      <c r="I144" s="25"/>
      <c r="J144" s="101"/>
      <c r="K144" s="101"/>
      <c r="L144" s="101"/>
      <c r="M144" s="101"/>
      <c r="N144" s="101"/>
      <c r="O144" s="101"/>
      <c r="P144" s="101"/>
      <c r="Q144" s="101"/>
    </row>
    <row r="145" spans="1:17" s="71" customFormat="1" ht="25.5" x14ac:dyDescent="0.2">
      <c r="A145" s="67" t="s">
        <v>167</v>
      </c>
      <c r="B145" s="68">
        <v>905</v>
      </c>
      <c r="C145" s="69" t="s">
        <v>11</v>
      </c>
      <c r="D145" s="69" t="s">
        <v>59</v>
      </c>
      <c r="E145" s="82" t="s">
        <v>168</v>
      </c>
      <c r="F145" s="82"/>
      <c r="G145" s="83">
        <f>G146</f>
        <v>300</v>
      </c>
      <c r="H145" s="83">
        <f>H146</f>
        <v>0</v>
      </c>
      <c r="I145" s="83">
        <f>I146</f>
        <v>0</v>
      </c>
      <c r="J145" s="100"/>
      <c r="K145" s="100"/>
      <c r="L145" s="100"/>
      <c r="M145" s="100"/>
      <c r="N145" s="100"/>
      <c r="O145" s="100"/>
      <c r="P145" s="100"/>
      <c r="Q145" s="100"/>
    </row>
    <row r="146" spans="1:17" s="76" customFormat="1" ht="25.5" x14ac:dyDescent="0.2">
      <c r="A146" s="79" t="s">
        <v>74</v>
      </c>
      <c r="B146" s="73">
        <v>905</v>
      </c>
      <c r="C146" s="74" t="s">
        <v>11</v>
      </c>
      <c r="D146" s="74" t="s">
        <v>59</v>
      </c>
      <c r="E146" s="74" t="s">
        <v>168</v>
      </c>
      <c r="F146" s="75" t="s">
        <v>66</v>
      </c>
      <c r="G146" s="54">
        <v>300</v>
      </c>
      <c r="H146" s="54"/>
      <c r="I146" s="54"/>
      <c r="J146" s="101"/>
      <c r="K146" s="101"/>
      <c r="L146" s="101"/>
      <c r="M146" s="101"/>
      <c r="N146" s="101"/>
      <c r="O146" s="101"/>
      <c r="P146" s="101"/>
      <c r="Q146" s="101"/>
    </row>
    <row r="147" spans="1:17" s="21" customFormat="1" ht="38.25" x14ac:dyDescent="0.2">
      <c r="A147" s="18" t="s">
        <v>169</v>
      </c>
      <c r="B147" s="22">
        <v>905</v>
      </c>
      <c r="C147" s="19" t="s">
        <v>11</v>
      </c>
      <c r="D147" s="19" t="s">
        <v>59</v>
      </c>
      <c r="E147" s="19" t="s">
        <v>170</v>
      </c>
      <c r="F147" s="19"/>
      <c r="G147" s="20">
        <f>G148</f>
        <v>200</v>
      </c>
      <c r="H147" s="20">
        <f>H148</f>
        <v>0</v>
      </c>
      <c r="I147" s="20">
        <f>I148</f>
        <v>0</v>
      </c>
    </row>
    <row r="148" spans="1:17" s="26" customFormat="1" ht="25.5" x14ac:dyDescent="0.2">
      <c r="A148" s="28" t="s">
        <v>74</v>
      </c>
      <c r="B148" s="31">
        <v>905</v>
      </c>
      <c r="C148" s="24" t="s">
        <v>11</v>
      </c>
      <c r="D148" s="24" t="s">
        <v>59</v>
      </c>
      <c r="E148" s="24" t="s">
        <v>170</v>
      </c>
      <c r="F148" s="27" t="s">
        <v>66</v>
      </c>
      <c r="G148" s="25">
        <v>200</v>
      </c>
      <c r="H148" s="25"/>
      <c r="I148" s="25"/>
    </row>
    <row r="149" spans="1:17" x14ac:dyDescent="0.2">
      <c r="A149" s="18" t="s">
        <v>171</v>
      </c>
      <c r="B149" s="22">
        <v>905</v>
      </c>
      <c r="C149" s="19" t="s">
        <v>11</v>
      </c>
      <c r="D149" s="19" t="s">
        <v>59</v>
      </c>
      <c r="E149" s="5" t="s">
        <v>172</v>
      </c>
      <c r="F149" s="5"/>
      <c r="G149" s="6">
        <f>G151+G150</f>
        <v>2708.9</v>
      </c>
      <c r="H149" s="6">
        <f>H151+H150</f>
        <v>0</v>
      </c>
      <c r="I149" s="6">
        <f>I151+I150</f>
        <v>0</v>
      </c>
      <c r="J149" s="194"/>
      <c r="K149" s="194"/>
      <c r="L149" s="194"/>
      <c r="M149" s="194"/>
      <c r="N149" s="194"/>
      <c r="O149" s="194"/>
      <c r="P149" s="194"/>
      <c r="Q149" s="194"/>
    </row>
    <row r="150" spans="1:17" s="26" customFormat="1" ht="25.5" x14ac:dyDescent="0.2">
      <c r="A150" s="28" t="s">
        <v>74</v>
      </c>
      <c r="B150" s="32">
        <v>905</v>
      </c>
      <c r="C150" s="24" t="s">
        <v>11</v>
      </c>
      <c r="D150" s="24" t="s">
        <v>59</v>
      </c>
      <c r="E150" s="24" t="s">
        <v>172</v>
      </c>
      <c r="F150" s="27" t="s">
        <v>66</v>
      </c>
      <c r="G150" s="25">
        <f>142.7+2435.3</f>
        <v>2578</v>
      </c>
      <c r="H150" s="25"/>
      <c r="I150" s="25"/>
    </row>
    <row r="151" spans="1:17" s="26" customFormat="1" x14ac:dyDescent="0.2">
      <c r="A151" s="28" t="s">
        <v>70</v>
      </c>
      <c r="B151" s="32">
        <v>905</v>
      </c>
      <c r="C151" s="24" t="s">
        <v>11</v>
      </c>
      <c r="D151" s="24" t="s">
        <v>59</v>
      </c>
      <c r="E151" s="24" t="s">
        <v>172</v>
      </c>
      <c r="F151" s="27" t="s">
        <v>71</v>
      </c>
      <c r="G151" s="25">
        <v>130.9</v>
      </c>
      <c r="H151" s="25"/>
      <c r="I151" s="25"/>
      <c r="J151" s="101"/>
      <c r="K151" s="101"/>
      <c r="L151" s="101"/>
      <c r="M151" s="101"/>
      <c r="N151" s="101"/>
      <c r="O151" s="101"/>
      <c r="P151" s="101"/>
      <c r="Q151" s="101"/>
    </row>
    <row r="152" spans="1:17" s="71" customFormat="1" x14ac:dyDescent="0.2">
      <c r="A152" s="67" t="s">
        <v>174</v>
      </c>
      <c r="B152" s="68">
        <v>905</v>
      </c>
      <c r="C152" s="69" t="s">
        <v>11</v>
      </c>
      <c r="D152" s="69" t="s">
        <v>59</v>
      </c>
      <c r="E152" s="82" t="s">
        <v>173</v>
      </c>
      <c r="F152" s="82"/>
      <c r="G152" s="83">
        <f>G153</f>
        <v>500</v>
      </c>
      <c r="H152" s="83">
        <f>H153</f>
        <v>0</v>
      </c>
      <c r="I152" s="83">
        <f>I153</f>
        <v>0</v>
      </c>
      <c r="J152" s="100"/>
      <c r="K152" s="100"/>
      <c r="L152" s="100"/>
      <c r="M152" s="100"/>
      <c r="N152" s="100"/>
      <c r="O152" s="100"/>
      <c r="P152" s="100"/>
      <c r="Q152" s="100"/>
    </row>
    <row r="153" spans="1:17" s="76" customFormat="1" ht="25.5" x14ac:dyDescent="0.2">
      <c r="A153" s="79" t="s">
        <v>74</v>
      </c>
      <c r="B153" s="73">
        <v>905</v>
      </c>
      <c r="C153" s="74" t="s">
        <v>11</v>
      </c>
      <c r="D153" s="74" t="s">
        <v>59</v>
      </c>
      <c r="E153" s="74" t="s">
        <v>173</v>
      </c>
      <c r="F153" s="75" t="s">
        <v>66</v>
      </c>
      <c r="G153" s="54">
        <v>500</v>
      </c>
      <c r="H153" s="54"/>
      <c r="I153" s="54"/>
      <c r="J153" s="101"/>
      <c r="K153" s="101"/>
      <c r="L153" s="101"/>
      <c r="M153" s="101"/>
      <c r="N153" s="101"/>
      <c r="O153" s="101"/>
      <c r="P153" s="101"/>
      <c r="Q153" s="101"/>
    </row>
    <row r="154" spans="1:17" x14ac:dyDescent="0.2">
      <c r="A154" s="18" t="s">
        <v>175</v>
      </c>
      <c r="B154" s="22">
        <v>905</v>
      </c>
      <c r="C154" s="19" t="s">
        <v>11</v>
      </c>
      <c r="D154" s="19" t="s">
        <v>59</v>
      </c>
      <c r="E154" s="5" t="s">
        <v>176</v>
      </c>
      <c r="F154" s="5"/>
      <c r="G154" s="6">
        <f>G155</f>
        <v>169</v>
      </c>
      <c r="H154" s="6">
        <f t="shared" ref="H154:I154" si="36">H155</f>
        <v>0</v>
      </c>
      <c r="I154" s="6">
        <f t="shared" si="36"/>
        <v>0</v>
      </c>
      <c r="J154" s="100"/>
      <c r="K154" s="100"/>
      <c r="L154" s="100"/>
      <c r="M154" s="100"/>
      <c r="N154" s="100"/>
      <c r="O154" s="100"/>
      <c r="P154" s="100"/>
      <c r="Q154" s="100"/>
    </row>
    <row r="155" spans="1:17" s="26" customFormat="1" ht="25.5" x14ac:dyDescent="0.2">
      <c r="A155" s="28" t="s">
        <v>74</v>
      </c>
      <c r="B155" s="23">
        <v>905</v>
      </c>
      <c r="C155" s="24" t="s">
        <v>11</v>
      </c>
      <c r="D155" s="24" t="s">
        <v>59</v>
      </c>
      <c r="E155" s="24" t="s">
        <v>176</v>
      </c>
      <c r="F155" s="27" t="s">
        <v>66</v>
      </c>
      <c r="G155" s="25">
        <v>169</v>
      </c>
      <c r="H155" s="25"/>
      <c r="I155" s="25"/>
    </row>
    <row r="156" spans="1:17" ht="25.5" x14ac:dyDescent="0.2">
      <c r="A156" s="18" t="s">
        <v>177</v>
      </c>
      <c r="B156" s="22">
        <v>905</v>
      </c>
      <c r="C156" s="19" t="s">
        <v>11</v>
      </c>
      <c r="D156" s="19" t="s">
        <v>59</v>
      </c>
      <c r="E156" s="5" t="s">
        <v>178</v>
      </c>
      <c r="F156" s="19"/>
      <c r="G156" s="20">
        <f>G157+G158</f>
        <v>9752.8000000000011</v>
      </c>
      <c r="H156" s="20">
        <f t="shared" ref="H156:I156" si="37">H157+H158</f>
        <v>9065.2000000000007</v>
      </c>
      <c r="I156" s="20">
        <f t="shared" si="37"/>
        <v>9065.2000000000007</v>
      </c>
      <c r="J156" s="100"/>
      <c r="K156" s="100"/>
      <c r="L156" s="100"/>
      <c r="M156" s="100"/>
      <c r="N156" s="100"/>
      <c r="O156" s="100"/>
      <c r="P156" s="100"/>
      <c r="Q156" s="100"/>
    </row>
    <row r="157" spans="1:17" s="26" customFormat="1" ht="51" customHeight="1" x14ac:dyDescent="0.2">
      <c r="A157" s="30" t="s">
        <v>64</v>
      </c>
      <c r="B157" s="32">
        <v>905</v>
      </c>
      <c r="C157" s="24" t="s">
        <v>11</v>
      </c>
      <c r="D157" s="24" t="s">
        <v>59</v>
      </c>
      <c r="E157" s="24" t="s">
        <v>178</v>
      </c>
      <c r="F157" s="27" t="s">
        <v>65</v>
      </c>
      <c r="G157" s="25">
        <f>6756.1+100+2070.5</f>
        <v>8926.6</v>
      </c>
      <c r="H157" s="25">
        <f>6756.1+100+2070.5</f>
        <v>8926.6</v>
      </c>
      <c r="I157" s="25">
        <f>6756.1+100+2070.5</f>
        <v>8926.6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s="26" customFormat="1" ht="25.5" x14ac:dyDescent="0.2">
      <c r="A158" s="28" t="s">
        <v>74</v>
      </c>
      <c r="B158" s="32">
        <v>905</v>
      </c>
      <c r="C158" s="24" t="s">
        <v>11</v>
      </c>
      <c r="D158" s="24" t="s">
        <v>59</v>
      </c>
      <c r="E158" s="24" t="s">
        <v>178</v>
      </c>
      <c r="F158" s="27" t="s">
        <v>66</v>
      </c>
      <c r="G158" s="25">
        <f>138.6+30+531.1+36.5+90</f>
        <v>826.2</v>
      </c>
      <c r="H158" s="25">
        <v>138.6</v>
      </c>
      <c r="I158" s="25">
        <v>138.6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s="3" customFormat="1" x14ac:dyDescent="0.2">
      <c r="A159" s="13" t="s">
        <v>26</v>
      </c>
      <c r="B159" s="41">
        <v>905</v>
      </c>
      <c r="C159" s="1" t="s">
        <v>17</v>
      </c>
      <c r="D159" s="1"/>
      <c r="E159" s="1"/>
      <c r="F159" s="1"/>
      <c r="G159" s="2">
        <f>G160</f>
        <v>2000</v>
      </c>
      <c r="H159" s="2">
        <f>H160</f>
        <v>0</v>
      </c>
      <c r="I159" s="2">
        <f>I160</f>
        <v>0</v>
      </c>
      <c r="J159" s="105"/>
      <c r="K159" s="105"/>
      <c r="L159" s="105"/>
      <c r="M159" s="105"/>
      <c r="N159" s="105"/>
      <c r="O159" s="105"/>
      <c r="P159" s="105"/>
      <c r="Q159" s="105"/>
    </row>
    <row r="160" spans="1:17" s="9" customFormat="1" x14ac:dyDescent="0.2">
      <c r="A160" s="11" t="s">
        <v>27</v>
      </c>
      <c r="B160" s="14">
        <v>905</v>
      </c>
      <c r="C160" s="8" t="s">
        <v>17</v>
      </c>
      <c r="D160" s="8" t="s">
        <v>22</v>
      </c>
      <c r="E160" s="8"/>
      <c r="F160" s="8"/>
      <c r="G160" s="4">
        <f>G161+G163</f>
        <v>2000</v>
      </c>
      <c r="H160" s="4">
        <f>H161+H163</f>
        <v>0</v>
      </c>
      <c r="I160" s="4">
        <f>I161+I163</f>
        <v>0</v>
      </c>
      <c r="J160" s="106"/>
      <c r="K160" s="106"/>
      <c r="L160" s="106"/>
      <c r="M160" s="106"/>
      <c r="N160" s="106"/>
      <c r="O160" s="106"/>
      <c r="P160" s="106"/>
      <c r="Q160" s="106"/>
    </row>
    <row r="161" spans="1:23" x14ac:dyDescent="0.2">
      <c r="A161" s="18" t="s">
        <v>180</v>
      </c>
      <c r="B161" s="22">
        <v>905</v>
      </c>
      <c r="C161" s="19" t="s">
        <v>17</v>
      </c>
      <c r="D161" s="19" t="s">
        <v>22</v>
      </c>
      <c r="E161" s="19" t="s">
        <v>179</v>
      </c>
      <c r="F161" s="19"/>
      <c r="G161" s="20">
        <f>G162</f>
        <v>1500</v>
      </c>
      <c r="H161" s="20">
        <f>H162</f>
        <v>0</v>
      </c>
      <c r="I161" s="20">
        <f>I162</f>
        <v>0</v>
      </c>
      <c r="J161" s="100"/>
      <c r="K161" s="100"/>
      <c r="L161" s="100"/>
      <c r="M161" s="100"/>
      <c r="N161" s="100"/>
      <c r="O161" s="100"/>
      <c r="P161" s="100"/>
      <c r="Q161" s="100"/>
    </row>
    <row r="162" spans="1:23" s="26" customFormat="1" ht="25.5" x14ac:dyDescent="0.2">
      <c r="A162" s="28" t="s">
        <v>74</v>
      </c>
      <c r="B162" s="31">
        <v>905</v>
      </c>
      <c r="C162" s="24" t="s">
        <v>17</v>
      </c>
      <c r="D162" s="24" t="s">
        <v>22</v>
      </c>
      <c r="E162" s="24" t="s">
        <v>179</v>
      </c>
      <c r="F162" s="27" t="s">
        <v>66</v>
      </c>
      <c r="G162" s="25">
        <v>1500</v>
      </c>
      <c r="H162" s="25"/>
      <c r="I162" s="25"/>
      <c r="J162" s="101"/>
      <c r="K162" s="101"/>
      <c r="L162" s="101"/>
      <c r="M162" s="101"/>
      <c r="N162" s="101"/>
      <c r="O162" s="101"/>
      <c r="P162" s="101"/>
      <c r="Q162" s="101"/>
    </row>
    <row r="163" spans="1:23" s="21" customFormat="1" ht="38.25" x14ac:dyDescent="0.2">
      <c r="A163" s="18" t="s">
        <v>181</v>
      </c>
      <c r="B163" s="22">
        <v>905</v>
      </c>
      <c r="C163" s="19" t="s">
        <v>17</v>
      </c>
      <c r="D163" s="19" t="s">
        <v>22</v>
      </c>
      <c r="E163" s="19" t="s">
        <v>182</v>
      </c>
      <c r="F163" s="19"/>
      <c r="G163" s="20">
        <f>G164</f>
        <v>500</v>
      </c>
      <c r="H163" s="20">
        <f>H164</f>
        <v>0</v>
      </c>
      <c r="I163" s="20">
        <f>I164</f>
        <v>0</v>
      </c>
      <c r="J163" s="100"/>
      <c r="K163" s="100"/>
      <c r="L163" s="100"/>
      <c r="M163" s="100"/>
      <c r="N163" s="100"/>
      <c r="O163" s="100"/>
      <c r="P163" s="100"/>
      <c r="Q163" s="100"/>
    </row>
    <row r="164" spans="1:23" s="26" customFormat="1" ht="25.5" x14ac:dyDescent="0.2">
      <c r="A164" s="28" t="s">
        <v>74</v>
      </c>
      <c r="B164" s="32">
        <v>905</v>
      </c>
      <c r="C164" s="24" t="s">
        <v>17</v>
      </c>
      <c r="D164" s="24" t="s">
        <v>22</v>
      </c>
      <c r="E164" s="24" t="s">
        <v>182</v>
      </c>
      <c r="F164" s="27" t="s">
        <v>66</v>
      </c>
      <c r="G164" s="25">
        <v>500</v>
      </c>
      <c r="H164" s="25"/>
      <c r="I164" s="25"/>
      <c r="J164" s="101"/>
      <c r="K164" s="101"/>
      <c r="L164" s="101"/>
      <c r="M164" s="101"/>
      <c r="N164" s="101"/>
      <c r="O164" s="101"/>
      <c r="P164" s="101"/>
      <c r="Q164" s="101"/>
    </row>
    <row r="165" spans="1:23" s="3" customFormat="1" x14ac:dyDescent="0.2">
      <c r="A165" s="13" t="s">
        <v>28</v>
      </c>
      <c r="B165" s="41">
        <v>905</v>
      </c>
      <c r="C165" s="1" t="s">
        <v>29</v>
      </c>
      <c r="D165" s="1"/>
      <c r="E165" s="1"/>
      <c r="F165" s="1"/>
      <c r="G165" s="2">
        <f>G166</f>
        <v>1201.0999999999999</v>
      </c>
      <c r="H165" s="2">
        <f t="shared" ref="H165:I165" si="38">H166</f>
        <v>0</v>
      </c>
      <c r="I165" s="2">
        <f t="shared" si="38"/>
        <v>0</v>
      </c>
    </row>
    <row r="166" spans="1:23" s="9" customFormat="1" x14ac:dyDescent="0.2">
      <c r="A166" s="11" t="s">
        <v>30</v>
      </c>
      <c r="B166" s="14">
        <v>905</v>
      </c>
      <c r="C166" s="8" t="s">
        <v>29</v>
      </c>
      <c r="D166" s="8" t="s">
        <v>11</v>
      </c>
      <c r="E166" s="8"/>
      <c r="F166" s="8"/>
      <c r="G166" s="4">
        <f t="shared" ref="G166:I167" si="39">G167</f>
        <v>1201.0999999999999</v>
      </c>
      <c r="H166" s="4">
        <f t="shared" si="39"/>
        <v>0</v>
      </c>
      <c r="I166" s="4">
        <f t="shared" si="39"/>
        <v>0</v>
      </c>
    </row>
    <row r="167" spans="1:23" s="71" customFormat="1" ht="25.5" x14ac:dyDescent="0.2">
      <c r="A167" s="67" t="s">
        <v>183</v>
      </c>
      <c r="B167" s="68">
        <v>905</v>
      </c>
      <c r="C167" s="69" t="s">
        <v>29</v>
      </c>
      <c r="D167" s="69" t="s">
        <v>11</v>
      </c>
      <c r="E167" s="69" t="s">
        <v>184</v>
      </c>
      <c r="F167" s="69"/>
      <c r="G167" s="70">
        <f t="shared" si="39"/>
        <v>1201.0999999999999</v>
      </c>
      <c r="H167" s="70">
        <f t="shared" si="39"/>
        <v>0</v>
      </c>
      <c r="I167" s="70">
        <f t="shared" si="39"/>
        <v>0</v>
      </c>
      <c r="J167" s="100"/>
      <c r="K167" s="100"/>
      <c r="L167" s="100"/>
      <c r="M167" s="100"/>
      <c r="N167" s="100"/>
      <c r="O167" s="100"/>
      <c r="P167" s="100"/>
      <c r="Q167" s="100"/>
    </row>
    <row r="168" spans="1:23" s="26" customFormat="1" ht="25.5" x14ac:dyDescent="0.2">
      <c r="A168" s="28" t="s">
        <v>74</v>
      </c>
      <c r="B168" s="31">
        <v>905</v>
      </c>
      <c r="C168" s="24" t="s">
        <v>29</v>
      </c>
      <c r="D168" s="24" t="s">
        <v>11</v>
      </c>
      <c r="E168" s="24" t="s">
        <v>184</v>
      </c>
      <c r="F168" s="24" t="s">
        <v>66</v>
      </c>
      <c r="G168" s="25">
        <v>1201.0999999999999</v>
      </c>
      <c r="H168" s="25"/>
      <c r="I168" s="25"/>
      <c r="J168" s="101"/>
      <c r="K168" s="101"/>
      <c r="L168" s="101"/>
      <c r="M168" s="101"/>
      <c r="N168" s="101"/>
      <c r="O168" s="101"/>
      <c r="P168" s="101"/>
      <c r="Q168" s="101"/>
    </row>
    <row r="169" spans="1:23" s="9" customFormat="1" x14ac:dyDescent="0.2">
      <c r="A169" s="11" t="s">
        <v>50</v>
      </c>
      <c r="B169" s="14">
        <v>905</v>
      </c>
      <c r="C169" s="8" t="s">
        <v>49</v>
      </c>
      <c r="D169" s="8"/>
      <c r="E169" s="8"/>
      <c r="F169" s="8"/>
      <c r="G169" s="4">
        <f>G170</f>
        <v>82391</v>
      </c>
      <c r="H169" s="4">
        <f t="shared" ref="H169:I169" si="40">H170</f>
        <v>82391</v>
      </c>
      <c r="I169" s="4">
        <f t="shared" si="40"/>
        <v>82515</v>
      </c>
    </row>
    <row r="170" spans="1:23" s="9" customFormat="1" x14ac:dyDescent="0.2">
      <c r="A170" s="11" t="s">
        <v>54</v>
      </c>
      <c r="B170" s="14">
        <v>905</v>
      </c>
      <c r="C170" s="8" t="s">
        <v>49</v>
      </c>
      <c r="D170" s="8" t="s">
        <v>17</v>
      </c>
      <c r="E170" s="8"/>
      <c r="F170" s="8"/>
      <c r="G170" s="4">
        <f>G171+G173</f>
        <v>82391</v>
      </c>
      <c r="H170" s="4">
        <f t="shared" ref="H170:I170" si="41">H171+H173</f>
        <v>82391</v>
      </c>
      <c r="I170" s="4">
        <f t="shared" si="41"/>
        <v>82515</v>
      </c>
    </row>
    <row r="171" spans="1:23" ht="39" customHeight="1" x14ac:dyDescent="0.2">
      <c r="A171" s="18" t="s">
        <v>185</v>
      </c>
      <c r="B171" s="22">
        <v>905</v>
      </c>
      <c r="C171" s="19" t="s">
        <v>49</v>
      </c>
      <c r="D171" s="16" t="s">
        <v>17</v>
      </c>
      <c r="E171" s="19" t="s">
        <v>113</v>
      </c>
      <c r="F171" s="19"/>
      <c r="G171" s="20">
        <f>G172</f>
        <v>24009</v>
      </c>
      <c r="H171" s="20">
        <f>H172</f>
        <v>24009</v>
      </c>
      <c r="I171" s="20">
        <f>I172</f>
        <v>24133</v>
      </c>
      <c r="J171" s="100"/>
      <c r="K171" s="100"/>
      <c r="L171" s="100"/>
      <c r="M171" s="100"/>
      <c r="N171" s="100"/>
      <c r="O171" s="100"/>
      <c r="P171" s="100"/>
      <c r="Q171" s="100"/>
    </row>
    <row r="172" spans="1:23" s="26" customFormat="1" ht="25.5" x14ac:dyDescent="0.2">
      <c r="A172" s="28" t="s">
        <v>80</v>
      </c>
      <c r="B172" s="31">
        <v>905</v>
      </c>
      <c r="C172" s="24" t="s">
        <v>49</v>
      </c>
      <c r="D172" s="24" t="s">
        <v>17</v>
      </c>
      <c r="E172" s="19" t="s">
        <v>113</v>
      </c>
      <c r="F172" s="24" t="s">
        <v>69</v>
      </c>
      <c r="G172" s="25">
        <v>24009</v>
      </c>
      <c r="H172" s="25">
        <v>24009</v>
      </c>
      <c r="I172" s="25">
        <v>24133</v>
      </c>
      <c r="J172" s="101"/>
      <c r="K172" s="101"/>
      <c r="L172" s="101"/>
      <c r="M172" s="101"/>
      <c r="N172" s="101"/>
      <c r="O172" s="101"/>
      <c r="P172" s="101"/>
      <c r="Q172" s="101"/>
    </row>
    <row r="173" spans="1:23" s="21" customFormat="1" ht="41.25" customHeight="1" x14ac:dyDescent="0.2">
      <c r="A173" s="18" t="s">
        <v>185</v>
      </c>
      <c r="B173" s="18">
        <v>905</v>
      </c>
      <c r="C173" s="19" t="s">
        <v>49</v>
      </c>
      <c r="D173" s="16" t="s">
        <v>17</v>
      </c>
      <c r="E173" s="19" t="s">
        <v>289</v>
      </c>
      <c r="F173" s="19"/>
      <c r="G173" s="20">
        <f>G174</f>
        <v>58382</v>
      </c>
      <c r="H173" s="20">
        <f>H174</f>
        <v>58382</v>
      </c>
      <c r="I173" s="20">
        <f>I174</f>
        <v>58382</v>
      </c>
      <c r="S173" s="225"/>
      <c r="T173" s="225"/>
      <c r="U173" s="225"/>
      <c r="V173" s="225"/>
      <c r="W173" s="225"/>
    </row>
    <row r="174" spans="1:23" s="71" customFormat="1" ht="25.5" x14ac:dyDescent="0.2">
      <c r="A174" s="79" t="s">
        <v>80</v>
      </c>
      <c r="B174" s="79">
        <v>905</v>
      </c>
      <c r="C174" s="74" t="s">
        <v>49</v>
      </c>
      <c r="D174" s="74" t="s">
        <v>17</v>
      </c>
      <c r="E174" s="69" t="s">
        <v>289</v>
      </c>
      <c r="F174" s="74" t="s">
        <v>69</v>
      </c>
      <c r="G174" s="54">
        <v>58382</v>
      </c>
      <c r="H174" s="54">
        <v>58382</v>
      </c>
      <c r="I174" s="54">
        <v>58382</v>
      </c>
      <c r="S174" s="225"/>
      <c r="T174" s="225"/>
      <c r="U174" s="225"/>
      <c r="V174" s="225"/>
      <c r="W174" s="225"/>
    </row>
    <row r="175" spans="1:23" s="9" customFormat="1" ht="29.25" customHeight="1" x14ac:dyDescent="0.2">
      <c r="A175" s="39" t="s">
        <v>61</v>
      </c>
      <c r="B175" s="36">
        <v>906</v>
      </c>
      <c r="C175" s="40"/>
      <c r="D175" s="40"/>
      <c r="E175" s="40"/>
      <c r="F175" s="40"/>
      <c r="G175" s="38">
        <f t="shared" ref="G175:I176" si="42">G176</f>
        <v>3046.0000000000005</v>
      </c>
      <c r="H175" s="38">
        <f t="shared" si="42"/>
        <v>3046.0000000000005</v>
      </c>
      <c r="I175" s="38">
        <f t="shared" si="42"/>
        <v>3046.0000000000005</v>
      </c>
    </row>
    <row r="176" spans="1:23" s="3" customFormat="1" x14ac:dyDescent="0.2">
      <c r="A176" s="13" t="s">
        <v>58</v>
      </c>
      <c r="B176" s="41">
        <v>906</v>
      </c>
      <c r="C176" s="1" t="s">
        <v>11</v>
      </c>
      <c r="D176" s="1"/>
      <c r="E176" s="1"/>
      <c r="F176" s="1"/>
      <c r="G176" s="2">
        <f t="shared" si="42"/>
        <v>3046.0000000000005</v>
      </c>
      <c r="H176" s="2">
        <f t="shared" si="42"/>
        <v>3046.0000000000005</v>
      </c>
      <c r="I176" s="2">
        <f t="shared" si="42"/>
        <v>3046.0000000000005</v>
      </c>
    </row>
    <row r="177" spans="1:17" s="9" customFormat="1" ht="38.25" x14ac:dyDescent="0.2">
      <c r="A177" s="11" t="s">
        <v>79</v>
      </c>
      <c r="B177" s="14">
        <v>906</v>
      </c>
      <c r="C177" s="8" t="s">
        <v>11</v>
      </c>
      <c r="D177" s="8" t="s">
        <v>48</v>
      </c>
      <c r="E177" s="8"/>
      <c r="F177" s="8"/>
      <c r="G177" s="4">
        <f>G178+G182</f>
        <v>3046.0000000000005</v>
      </c>
      <c r="H177" s="4">
        <f>H178+H182</f>
        <v>3046.0000000000005</v>
      </c>
      <c r="I177" s="4">
        <f>I178+I182</f>
        <v>3046.0000000000005</v>
      </c>
    </row>
    <row r="178" spans="1:17" s="21" customFormat="1" x14ac:dyDescent="0.2">
      <c r="A178" s="18" t="s">
        <v>187</v>
      </c>
      <c r="B178" s="22">
        <v>906</v>
      </c>
      <c r="C178" s="19" t="s">
        <v>11</v>
      </c>
      <c r="D178" s="19" t="s">
        <v>48</v>
      </c>
      <c r="E178" s="19" t="s">
        <v>186</v>
      </c>
      <c r="F178" s="19"/>
      <c r="G178" s="20">
        <f>+G179+G180+G181</f>
        <v>2250.6000000000004</v>
      </c>
      <c r="H178" s="20">
        <f>+H179+H180+H181</f>
        <v>2250.6000000000004</v>
      </c>
      <c r="I178" s="20">
        <f>+I179+I180+I181</f>
        <v>2250.6000000000004</v>
      </c>
      <c r="J178" s="100"/>
      <c r="K178" s="100"/>
      <c r="L178" s="100"/>
      <c r="M178" s="100"/>
      <c r="N178" s="100"/>
      <c r="O178" s="100"/>
      <c r="P178" s="100"/>
      <c r="Q178" s="100"/>
    </row>
    <row r="179" spans="1:17" s="26" customFormat="1" ht="53.25" customHeight="1" x14ac:dyDescent="0.2">
      <c r="A179" s="30" t="s">
        <v>64</v>
      </c>
      <c r="B179" s="32">
        <v>906</v>
      </c>
      <c r="C179" s="24" t="s">
        <v>11</v>
      </c>
      <c r="D179" s="24" t="s">
        <v>48</v>
      </c>
      <c r="E179" s="24" t="s">
        <v>186</v>
      </c>
      <c r="F179" s="27" t="s">
        <v>65</v>
      </c>
      <c r="G179" s="25">
        <f>1364.2+8.4+5.7+412</f>
        <v>1790.3000000000002</v>
      </c>
      <c r="H179" s="25">
        <f>1364.2+8.4+5.7+412</f>
        <v>1790.3000000000002</v>
      </c>
      <c r="I179" s="25">
        <f>1364.2+8.4+5.7+412</f>
        <v>1790.3000000000002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s="26" customFormat="1" ht="25.5" x14ac:dyDescent="0.2">
      <c r="A180" s="28" t="s">
        <v>74</v>
      </c>
      <c r="B180" s="31">
        <v>906</v>
      </c>
      <c r="C180" s="24" t="s">
        <v>11</v>
      </c>
      <c r="D180" s="24" t="s">
        <v>48</v>
      </c>
      <c r="E180" s="24" t="s">
        <v>186</v>
      </c>
      <c r="F180" s="27" t="s">
        <v>66</v>
      </c>
      <c r="G180" s="25">
        <v>459.5</v>
      </c>
      <c r="H180" s="25">
        <v>459.5</v>
      </c>
      <c r="I180" s="25">
        <v>459.5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s="26" customFormat="1" x14ac:dyDescent="0.2">
      <c r="A181" s="28" t="s">
        <v>70</v>
      </c>
      <c r="B181" s="31">
        <v>906</v>
      </c>
      <c r="C181" s="24" t="s">
        <v>11</v>
      </c>
      <c r="D181" s="24" t="s">
        <v>48</v>
      </c>
      <c r="E181" s="24" t="s">
        <v>186</v>
      </c>
      <c r="F181" s="24" t="s">
        <v>71</v>
      </c>
      <c r="G181" s="25">
        <v>0.8</v>
      </c>
      <c r="H181" s="25">
        <v>0.8</v>
      </c>
      <c r="I181" s="25">
        <v>0.8</v>
      </c>
    </row>
    <row r="182" spans="1:17" s="21" customFormat="1" x14ac:dyDescent="0.2">
      <c r="A182" s="18" t="s">
        <v>188</v>
      </c>
      <c r="B182" s="22">
        <v>906</v>
      </c>
      <c r="C182" s="19" t="s">
        <v>11</v>
      </c>
      <c r="D182" s="19" t="s">
        <v>48</v>
      </c>
      <c r="E182" s="19" t="s">
        <v>189</v>
      </c>
      <c r="F182" s="19"/>
      <c r="G182" s="20">
        <f>G183</f>
        <v>795.4</v>
      </c>
      <c r="H182" s="20">
        <f>H183</f>
        <v>795.4</v>
      </c>
      <c r="I182" s="20">
        <f>I183</f>
        <v>795.4</v>
      </c>
      <c r="J182" s="100"/>
      <c r="K182" s="100"/>
      <c r="L182" s="100"/>
      <c r="M182" s="100"/>
      <c r="N182" s="100"/>
      <c r="O182" s="100"/>
      <c r="P182" s="100"/>
      <c r="Q182" s="100"/>
    </row>
    <row r="183" spans="1:17" s="26" customFormat="1" ht="51" customHeight="1" x14ac:dyDescent="0.2">
      <c r="A183" s="30" t="s">
        <v>64</v>
      </c>
      <c r="B183" s="32">
        <v>906</v>
      </c>
      <c r="C183" s="24" t="s">
        <v>11</v>
      </c>
      <c r="D183" s="24" t="s">
        <v>48</v>
      </c>
      <c r="E183" s="24" t="s">
        <v>189</v>
      </c>
      <c r="F183" s="27" t="s">
        <v>65</v>
      </c>
      <c r="G183" s="25">
        <f>610.9+184.5</f>
        <v>795.4</v>
      </c>
      <c r="H183" s="25">
        <f>610.9+184.5</f>
        <v>795.4</v>
      </c>
      <c r="I183" s="25">
        <f>610.9+184.5</f>
        <v>795.4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s="9" customFormat="1" ht="30" customHeight="1" x14ac:dyDescent="0.2">
      <c r="A184" s="39" t="s">
        <v>75</v>
      </c>
      <c r="B184" s="36">
        <v>907</v>
      </c>
      <c r="C184" s="40"/>
      <c r="D184" s="40"/>
      <c r="E184" s="40"/>
      <c r="F184" s="40"/>
      <c r="G184" s="38">
        <f>G185</f>
        <v>8694.1999999999989</v>
      </c>
      <c r="H184" s="38">
        <f>H185</f>
        <v>8549.9</v>
      </c>
      <c r="I184" s="38">
        <f>I185</f>
        <v>8549.9</v>
      </c>
    </row>
    <row r="185" spans="1:17" s="3" customFormat="1" x14ac:dyDescent="0.2">
      <c r="A185" s="13" t="s">
        <v>58</v>
      </c>
      <c r="B185" s="41">
        <v>907</v>
      </c>
      <c r="C185" s="1" t="s">
        <v>11</v>
      </c>
      <c r="D185" s="1"/>
      <c r="E185" s="1"/>
      <c r="F185" s="1"/>
      <c r="G185" s="2">
        <f>G186+G196</f>
        <v>8694.1999999999989</v>
      </c>
      <c r="H185" s="2">
        <f>H186+H196</f>
        <v>8549.9</v>
      </c>
      <c r="I185" s="2">
        <f>I186+I196</f>
        <v>8549.9</v>
      </c>
    </row>
    <row r="186" spans="1:17" s="9" customFormat="1" ht="51" x14ac:dyDescent="0.2">
      <c r="A186" s="11" t="s">
        <v>14</v>
      </c>
      <c r="B186" s="14">
        <v>907</v>
      </c>
      <c r="C186" s="8" t="s">
        <v>11</v>
      </c>
      <c r="D186" s="8" t="s">
        <v>15</v>
      </c>
      <c r="E186" s="8"/>
      <c r="F186" s="8"/>
      <c r="G186" s="4">
        <f>G187+G191+G194</f>
        <v>8549.9</v>
      </c>
      <c r="H186" s="4">
        <f>H187+H191+H194</f>
        <v>8549.9</v>
      </c>
      <c r="I186" s="4">
        <f>I187+I191+I194</f>
        <v>8549.9</v>
      </c>
      <c r="J186" s="106"/>
      <c r="K186" s="106"/>
      <c r="L186" s="106"/>
      <c r="M186" s="106"/>
      <c r="N186" s="106"/>
      <c r="O186" s="106"/>
      <c r="P186" s="106"/>
      <c r="Q186" s="106"/>
    </row>
    <row r="187" spans="1:17" s="21" customFormat="1" x14ac:dyDescent="0.2">
      <c r="A187" s="18" t="s">
        <v>187</v>
      </c>
      <c r="B187" s="22">
        <v>907</v>
      </c>
      <c r="C187" s="19" t="s">
        <v>11</v>
      </c>
      <c r="D187" s="19" t="s">
        <v>15</v>
      </c>
      <c r="E187" s="19" t="s">
        <v>186</v>
      </c>
      <c r="F187" s="19"/>
      <c r="G187" s="20">
        <f>G188+G189+G190</f>
        <v>3538.2</v>
      </c>
      <c r="H187" s="20">
        <f>H188+H189+H190</f>
        <v>3538.2</v>
      </c>
      <c r="I187" s="20">
        <f>I188+I189+I190</f>
        <v>3538.2</v>
      </c>
      <c r="J187" s="100"/>
      <c r="K187" s="100"/>
      <c r="L187" s="100"/>
      <c r="M187" s="100"/>
      <c r="N187" s="100"/>
      <c r="O187" s="100"/>
      <c r="P187" s="100"/>
      <c r="Q187" s="100"/>
    </row>
    <row r="188" spans="1:17" s="76" customFormat="1" ht="51.75" customHeight="1" x14ac:dyDescent="0.2">
      <c r="A188" s="72" t="s">
        <v>64</v>
      </c>
      <c r="B188" s="73">
        <v>907</v>
      </c>
      <c r="C188" s="74" t="s">
        <v>11</v>
      </c>
      <c r="D188" s="74" t="s">
        <v>15</v>
      </c>
      <c r="E188" s="74" t="s">
        <v>186</v>
      </c>
      <c r="F188" s="75" t="s">
        <v>65</v>
      </c>
      <c r="G188" s="54">
        <v>3115.7</v>
      </c>
      <c r="H188" s="54">
        <v>3115.7</v>
      </c>
      <c r="I188" s="54">
        <v>3115.7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s="26" customFormat="1" ht="25.5" x14ac:dyDescent="0.2">
      <c r="A189" s="28" t="s">
        <v>74</v>
      </c>
      <c r="B189" s="32">
        <v>907</v>
      </c>
      <c r="C189" s="24" t="s">
        <v>11</v>
      </c>
      <c r="D189" s="24" t="s">
        <v>15</v>
      </c>
      <c r="E189" s="24" t="s">
        <v>186</v>
      </c>
      <c r="F189" s="27" t="s">
        <v>66</v>
      </c>
      <c r="G189" s="25">
        <v>420.4</v>
      </c>
      <c r="H189" s="25">
        <v>420.4</v>
      </c>
      <c r="I189" s="25">
        <v>420.4</v>
      </c>
    </row>
    <row r="190" spans="1:17" s="26" customFormat="1" x14ac:dyDescent="0.2">
      <c r="A190" s="28" t="s">
        <v>70</v>
      </c>
      <c r="B190" s="31">
        <v>907</v>
      </c>
      <c r="C190" s="24" t="s">
        <v>11</v>
      </c>
      <c r="D190" s="24" t="s">
        <v>15</v>
      </c>
      <c r="E190" s="24" t="s">
        <v>186</v>
      </c>
      <c r="F190" s="24" t="s">
        <v>71</v>
      </c>
      <c r="G190" s="25">
        <v>2.1</v>
      </c>
      <c r="H190" s="25">
        <v>2.1</v>
      </c>
      <c r="I190" s="25">
        <v>2.1</v>
      </c>
    </row>
    <row r="191" spans="1:17" s="21" customFormat="1" ht="25.5" x14ac:dyDescent="0.2">
      <c r="A191" s="18" t="s">
        <v>190</v>
      </c>
      <c r="B191" s="22">
        <v>907</v>
      </c>
      <c r="C191" s="19" t="s">
        <v>11</v>
      </c>
      <c r="D191" s="19" t="s">
        <v>15</v>
      </c>
      <c r="E191" s="19" t="s">
        <v>192</v>
      </c>
      <c r="F191" s="19"/>
      <c r="G191" s="20">
        <f>G192+G193</f>
        <v>1895</v>
      </c>
      <c r="H191" s="20">
        <f t="shared" ref="H191:I191" si="43">H192+H193</f>
        <v>1895</v>
      </c>
      <c r="I191" s="20">
        <f t="shared" si="43"/>
        <v>1895</v>
      </c>
      <c r="J191" s="100"/>
      <c r="K191" s="100"/>
      <c r="L191" s="100"/>
      <c r="M191" s="100"/>
      <c r="N191" s="100"/>
      <c r="O191" s="100"/>
      <c r="P191" s="100"/>
      <c r="Q191" s="100"/>
    </row>
    <row r="192" spans="1:17" s="76" customFormat="1" ht="51.75" customHeight="1" x14ac:dyDescent="0.2">
      <c r="A192" s="72" t="s">
        <v>64</v>
      </c>
      <c r="B192" s="73">
        <v>907</v>
      </c>
      <c r="C192" s="74" t="s">
        <v>11</v>
      </c>
      <c r="D192" s="74" t="s">
        <v>15</v>
      </c>
      <c r="E192" s="74" t="s">
        <v>192</v>
      </c>
      <c r="F192" s="75" t="s">
        <v>65</v>
      </c>
      <c r="G192" s="54">
        <v>1880</v>
      </c>
      <c r="H192" s="54">
        <v>1880</v>
      </c>
      <c r="I192" s="54">
        <v>1880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s="76" customFormat="1" ht="51.75" customHeight="1" x14ac:dyDescent="0.2">
      <c r="A193" s="28" t="s">
        <v>74</v>
      </c>
      <c r="B193" s="73">
        <v>907</v>
      </c>
      <c r="C193" s="74" t="s">
        <v>11</v>
      </c>
      <c r="D193" s="74" t="s">
        <v>15</v>
      </c>
      <c r="E193" s="74" t="s">
        <v>192</v>
      </c>
      <c r="F193" s="75" t="s">
        <v>66</v>
      </c>
      <c r="G193" s="54">
        <v>15</v>
      </c>
      <c r="H193" s="54">
        <v>15</v>
      </c>
      <c r="I193" s="54">
        <v>15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s="21" customFormat="1" ht="25.5" x14ac:dyDescent="0.2">
      <c r="A194" s="18" t="s">
        <v>191</v>
      </c>
      <c r="B194" s="22">
        <v>907</v>
      </c>
      <c r="C194" s="19" t="s">
        <v>11</v>
      </c>
      <c r="D194" s="19" t="s">
        <v>15</v>
      </c>
      <c r="E194" s="19" t="s">
        <v>193</v>
      </c>
      <c r="F194" s="19"/>
      <c r="G194" s="20">
        <f>G195</f>
        <v>3116.7</v>
      </c>
      <c r="H194" s="20">
        <f>H195</f>
        <v>3116.7</v>
      </c>
      <c r="I194" s="20">
        <f>I195</f>
        <v>3116.7</v>
      </c>
      <c r="J194" s="100"/>
      <c r="K194" s="100"/>
      <c r="L194" s="100"/>
      <c r="M194" s="100"/>
      <c r="N194" s="100"/>
      <c r="O194" s="100"/>
      <c r="P194" s="100"/>
      <c r="Q194" s="100"/>
    </row>
    <row r="195" spans="1:17" s="76" customFormat="1" ht="51" customHeight="1" x14ac:dyDescent="0.2">
      <c r="A195" s="72" t="s">
        <v>64</v>
      </c>
      <c r="B195" s="73">
        <v>907</v>
      </c>
      <c r="C195" s="74" t="s">
        <v>11</v>
      </c>
      <c r="D195" s="74" t="s">
        <v>15</v>
      </c>
      <c r="E195" s="74" t="s">
        <v>193</v>
      </c>
      <c r="F195" s="75" t="s">
        <v>65</v>
      </c>
      <c r="G195" s="54">
        <v>3116.7</v>
      </c>
      <c r="H195" s="54">
        <v>3116.7</v>
      </c>
      <c r="I195" s="54">
        <v>3116.7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s="9" customFormat="1" x14ac:dyDescent="0.2">
      <c r="A196" s="11" t="s">
        <v>23</v>
      </c>
      <c r="B196" s="14">
        <v>907</v>
      </c>
      <c r="C196" s="8" t="s">
        <v>11</v>
      </c>
      <c r="D196" s="8" t="s">
        <v>59</v>
      </c>
      <c r="E196" s="8"/>
      <c r="F196" s="8"/>
      <c r="G196" s="4">
        <f t="shared" ref="G196:I197" si="44">G197</f>
        <v>144.30000000000001</v>
      </c>
      <c r="H196" s="4">
        <f t="shared" si="44"/>
        <v>0</v>
      </c>
      <c r="I196" s="4">
        <f t="shared" si="44"/>
        <v>0</v>
      </c>
    </row>
    <row r="197" spans="1:17" s="21" customFormat="1" x14ac:dyDescent="0.2">
      <c r="A197" s="18" t="s">
        <v>195</v>
      </c>
      <c r="B197" s="22">
        <v>907</v>
      </c>
      <c r="C197" s="19" t="s">
        <v>11</v>
      </c>
      <c r="D197" s="19" t="s">
        <v>59</v>
      </c>
      <c r="E197" s="19" t="s">
        <v>194</v>
      </c>
      <c r="F197" s="19"/>
      <c r="G197" s="20">
        <f t="shared" si="44"/>
        <v>144.30000000000001</v>
      </c>
      <c r="H197" s="20">
        <f t="shared" si="44"/>
        <v>0</v>
      </c>
      <c r="I197" s="20">
        <f t="shared" si="44"/>
        <v>0</v>
      </c>
    </row>
    <row r="198" spans="1:17" s="26" customFormat="1" x14ac:dyDescent="0.2">
      <c r="A198" s="28" t="s">
        <v>67</v>
      </c>
      <c r="B198" s="31">
        <v>907</v>
      </c>
      <c r="C198" s="24" t="s">
        <v>11</v>
      </c>
      <c r="D198" s="24" t="s">
        <v>59</v>
      </c>
      <c r="E198" s="24" t="s">
        <v>194</v>
      </c>
      <c r="F198" s="24" t="s">
        <v>68</v>
      </c>
      <c r="G198" s="25">
        <v>144.30000000000001</v>
      </c>
      <c r="H198" s="25"/>
      <c r="I198" s="25"/>
    </row>
    <row r="199" spans="1:17" s="9" customFormat="1" ht="32.25" customHeight="1" x14ac:dyDescent="0.2">
      <c r="A199" s="39" t="s">
        <v>44</v>
      </c>
      <c r="B199" s="36">
        <v>911</v>
      </c>
      <c r="C199" s="40"/>
      <c r="D199" s="40"/>
      <c r="E199" s="40"/>
      <c r="F199" s="40"/>
      <c r="G199" s="38">
        <f>G200+G285+G319</f>
        <v>1335965.9000000001</v>
      </c>
      <c r="H199" s="38">
        <f>H200+H285+H319</f>
        <v>1240650.5</v>
      </c>
      <c r="I199" s="38">
        <f>I200+I285+I319</f>
        <v>1214556.6000000001</v>
      </c>
    </row>
    <row r="200" spans="1:17" s="88" customFormat="1" x14ac:dyDescent="0.2">
      <c r="A200" s="87" t="s">
        <v>35</v>
      </c>
      <c r="B200" s="56">
        <v>911</v>
      </c>
      <c r="C200" s="57" t="s">
        <v>18</v>
      </c>
      <c r="D200" s="57"/>
      <c r="E200" s="57"/>
      <c r="F200" s="57"/>
      <c r="G200" s="60">
        <f>G201+G214+G247+G254</f>
        <v>1261286.3</v>
      </c>
      <c r="H200" s="60">
        <f>H201+H214+H247+H254</f>
        <v>1168138.7</v>
      </c>
      <c r="I200" s="60">
        <f>I201+I214+I247+I254</f>
        <v>1142024.9000000001</v>
      </c>
    </row>
    <row r="201" spans="1:17" s="9" customFormat="1" x14ac:dyDescent="0.2">
      <c r="A201" s="11" t="s">
        <v>36</v>
      </c>
      <c r="B201" s="14">
        <v>911</v>
      </c>
      <c r="C201" s="8" t="s">
        <v>18</v>
      </c>
      <c r="D201" s="8" t="s">
        <v>11</v>
      </c>
      <c r="E201" s="8"/>
      <c r="F201" s="8"/>
      <c r="G201" s="4">
        <f>+G205+G209+G202</f>
        <v>472097.7</v>
      </c>
      <c r="H201" s="4">
        <f t="shared" ref="H201:I201" si="45">+H205+H209+H202</f>
        <v>440739.5</v>
      </c>
      <c r="I201" s="4">
        <f t="shared" si="45"/>
        <v>431654</v>
      </c>
    </row>
    <row r="202" spans="1:17" ht="25.5" x14ac:dyDescent="0.2">
      <c r="A202" s="17" t="s">
        <v>135</v>
      </c>
      <c r="B202" s="17">
        <v>911</v>
      </c>
      <c r="C202" s="19" t="s">
        <v>18</v>
      </c>
      <c r="D202" s="19" t="s">
        <v>11</v>
      </c>
      <c r="E202" s="19" t="s">
        <v>134</v>
      </c>
      <c r="F202" s="5"/>
      <c r="G202" s="6">
        <f>G204+G203</f>
        <v>5023.8</v>
      </c>
      <c r="H202" s="6">
        <f t="shared" ref="H202:I202" si="46">H204+H203</f>
        <v>866</v>
      </c>
      <c r="I202" s="6">
        <f t="shared" si="46"/>
        <v>866</v>
      </c>
      <c r="J202" s="194"/>
      <c r="K202" s="194"/>
      <c r="L202" s="194"/>
      <c r="M202" s="194"/>
      <c r="N202" s="194"/>
      <c r="O202" s="194"/>
      <c r="P202" s="194"/>
      <c r="Q202" s="194"/>
    </row>
    <row r="203" spans="1:17" ht="25.5" x14ac:dyDescent="0.2">
      <c r="A203" s="28" t="s">
        <v>74</v>
      </c>
      <c r="B203" s="28">
        <v>911</v>
      </c>
      <c r="C203" s="24" t="s">
        <v>18</v>
      </c>
      <c r="D203" s="24" t="s">
        <v>11</v>
      </c>
      <c r="E203" s="24" t="s">
        <v>134</v>
      </c>
      <c r="F203" s="24" t="s">
        <v>66</v>
      </c>
      <c r="G203" s="25">
        <v>486.8</v>
      </c>
      <c r="H203" s="25">
        <v>148.9</v>
      </c>
      <c r="I203" s="25">
        <v>148.9</v>
      </c>
      <c r="J203" s="100"/>
      <c r="K203" s="100"/>
      <c r="L203" s="100"/>
      <c r="M203" s="100"/>
      <c r="N203" s="100"/>
      <c r="O203" s="100"/>
      <c r="P203" s="100"/>
      <c r="Q203" s="100"/>
    </row>
    <row r="204" spans="1:17" ht="25.5" x14ac:dyDescent="0.2">
      <c r="A204" s="28" t="s">
        <v>119</v>
      </c>
      <c r="B204" s="28">
        <v>911</v>
      </c>
      <c r="C204" s="24" t="s">
        <v>18</v>
      </c>
      <c r="D204" s="24" t="s">
        <v>11</v>
      </c>
      <c r="E204" s="24" t="s">
        <v>134</v>
      </c>
      <c r="F204" s="24" t="s">
        <v>63</v>
      </c>
      <c r="G204" s="25">
        <v>4537</v>
      </c>
      <c r="H204" s="25">
        <v>717.1</v>
      </c>
      <c r="I204" s="25">
        <v>717.1</v>
      </c>
      <c r="J204" s="100"/>
      <c r="K204" s="100"/>
      <c r="L204" s="100"/>
      <c r="M204" s="100"/>
      <c r="N204" s="100"/>
      <c r="O204" s="100"/>
      <c r="P204" s="100"/>
      <c r="Q204" s="100"/>
    </row>
    <row r="205" spans="1:17" ht="51" x14ac:dyDescent="0.2">
      <c r="A205" s="52" t="s">
        <v>295</v>
      </c>
      <c r="B205" s="22">
        <v>911</v>
      </c>
      <c r="C205" s="19" t="s">
        <v>18</v>
      </c>
      <c r="D205" s="19" t="s">
        <v>11</v>
      </c>
      <c r="E205" s="19" t="s">
        <v>104</v>
      </c>
      <c r="F205" s="19"/>
      <c r="G205" s="20">
        <f>G208+G206+G207</f>
        <v>264200</v>
      </c>
      <c r="H205" s="20">
        <f t="shared" ref="H205:I205" si="47">H208+H206+H207</f>
        <v>264200</v>
      </c>
      <c r="I205" s="20">
        <f t="shared" si="47"/>
        <v>264200</v>
      </c>
      <c r="J205" s="100"/>
      <c r="K205" s="100"/>
      <c r="L205" s="100"/>
      <c r="M205" s="100"/>
      <c r="N205" s="100"/>
      <c r="O205" s="100"/>
      <c r="P205" s="100"/>
      <c r="Q205" s="100"/>
    </row>
    <row r="206" spans="1:17" ht="49.5" customHeight="1" x14ac:dyDescent="0.2">
      <c r="A206" s="30" t="s">
        <v>64</v>
      </c>
      <c r="B206" s="23">
        <v>911</v>
      </c>
      <c r="C206" s="24" t="s">
        <v>18</v>
      </c>
      <c r="D206" s="24" t="s">
        <v>11</v>
      </c>
      <c r="E206" s="24" t="s">
        <v>104</v>
      </c>
      <c r="F206" s="27" t="s">
        <v>65</v>
      </c>
      <c r="G206" s="25">
        <v>47990</v>
      </c>
      <c r="H206" s="25">
        <v>47990</v>
      </c>
      <c r="I206" s="25">
        <v>47990</v>
      </c>
      <c r="J206" s="100"/>
      <c r="K206" s="100"/>
      <c r="L206" s="100"/>
      <c r="M206" s="100"/>
      <c r="N206" s="100"/>
      <c r="O206" s="100"/>
      <c r="P206" s="100"/>
      <c r="Q206" s="100"/>
    </row>
    <row r="207" spans="1:17" ht="25.5" x14ac:dyDescent="0.2">
      <c r="A207" s="28" t="s">
        <v>74</v>
      </c>
      <c r="B207" s="23">
        <v>911</v>
      </c>
      <c r="C207" s="24" t="s">
        <v>18</v>
      </c>
      <c r="D207" s="24" t="s">
        <v>11</v>
      </c>
      <c r="E207" s="24" t="s">
        <v>104</v>
      </c>
      <c r="F207" s="27" t="s">
        <v>66</v>
      </c>
      <c r="G207" s="25">
        <v>189.2</v>
      </c>
      <c r="H207" s="25">
        <v>189.2</v>
      </c>
      <c r="I207" s="25">
        <v>189.2</v>
      </c>
      <c r="J207" s="100"/>
      <c r="K207" s="100"/>
      <c r="L207" s="100"/>
      <c r="M207" s="100"/>
      <c r="N207" s="100"/>
      <c r="O207" s="100"/>
      <c r="P207" s="100"/>
      <c r="Q207" s="100"/>
    </row>
    <row r="208" spans="1:17" s="26" customFormat="1" ht="25.5" x14ac:dyDescent="0.2">
      <c r="A208" s="28" t="s">
        <v>119</v>
      </c>
      <c r="B208" s="31">
        <v>911</v>
      </c>
      <c r="C208" s="24" t="s">
        <v>18</v>
      </c>
      <c r="D208" s="24" t="s">
        <v>11</v>
      </c>
      <c r="E208" s="24" t="s">
        <v>104</v>
      </c>
      <c r="F208" s="24" t="s">
        <v>63</v>
      </c>
      <c r="G208" s="25">
        <v>216020.8</v>
      </c>
      <c r="H208" s="25">
        <v>216020.8</v>
      </c>
      <c r="I208" s="25">
        <v>216020.8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63.75" x14ac:dyDescent="0.2">
      <c r="A209" s="18" t="s">
        <v>281</v>
      </c>
      <c r="B209" s="22">
        <v>911</v>
      </c>
      <c r="C209" s="19" t="s">
        <v>18</v>
      </c>
      <c r="D209" s="19" t="s">
        <v>11</v>
      </c>
      <c r="E209" s="19" t="s">
        <v>205</v>
      </c>
      <c r="F209" s="19"/>
      <c r="G209" s="20">
        <f>G212+G211+G210+G213</f>
        <v>202873.9</v>
      </c>
      <c r="H209" s="20">
        <f>H212+H211+H210+H213</f>
        <v>175673.49999999997</v>
      </c>
      <c r="I209" s="20">
        <f>I212+I211+I210+I213</f>
        <v>166587.99999999997</v>
      </c>
      <c r="J209" s="194"/>
      <c r="K209" s="194"/>
      <c r="L209" s="194"/>
      <c r="M209" s="194"/>
      <c r="N209" s="194"/>
      <c r="O209" s="194"/>
      <c r="P209" s="194"/>
      <c r="Q209" s="194"/>
    </row>
    <row r="210" spans="1:17" ht="53.25" customHeight="1" x14ac:dyDescent="0.2">
      <c r="A210" s="30" t="s">
        <v>64</v>
      </c>
      <c r="B210" s="22">
        <v>911</v>
      </c>
      <c r="C210" s="19" t="s">
        <v>18</v>
      </c>
      <c r="D210" s="19" t="s">
        <v>11</v>
      </c>
      <c r="E210" s="19" t="s">
        <v>205</v>
      </c>
      <c r="F210" s="19" t="s">
        <v>65</v>
      </c>
      <c r="G210" s="20">
        <v>29924.9</v>
      </c>
      <c r="H210" s="20">
        <v>29923.3</v>
      </c>
      <c r="I210" s="20">
        <v>29923.3</v>
      </c>
      <c r="J210" s="100"/>
      <c r="K210" s="100"/>
      <c r="L210" s="100"/>
      <c r="M210" s="100"/>
      <c r="N210" s="100"/>
      <c r="O210" s="100"/>
      <c r="P210" s="100"/>
      <c r="Q210" s="100"/>
    </row>
    <row r="211" spans="1:17" ht="25.5" x14ac:dyDescent="0.2">
      <c r="A211" s="28" t="s">
        <v>74</v>
      </c>
      <c r="B211" s="23">
        <v>911</v>
      </c>
      <c r="C211" s="24" t="s">
        <v>18</v>
      </c>
      <c r="D211" s="24" t="s">
        <v>11</v>
      </c>
      <c r="E211" s="24" t="s">
        <v>205</v>
      </c>
      <c r="F211" s="27" t="s">
        <v>66</v>
      </c>
      <c r="G211" s="25">
        <f>7266.2+6541.8</f>
        <v>13808</v>
      </c>
      <c r="H211" s="25">
        <f>7266.2+3104.1</f>
        <v>10370.299999999999</v>
      </c>
      <c r="I211" s="25">
        <f>7266.2+1883.8</f>
        <v>9150</v>
      </c>
      <c r="J211" s="100"/>
      <c r="K211" s="100"/>
      <c r="L211" s="100"/>
      <c r="M211" s="100"/>
      <c r="N211" s="100"/>
      <c r="O211" s="100"/>
      <c r="P211" s="100"/>
      <c r="Q211" s="100"/>
    </row>
    <row r="212" spans="1:17" s="26" customFormat="1" ht="25.5" x14ac:dyDescent="0.2">
      <c r="A212" s="28" t="s">
        <v>119</v>
      </c>
      <c r="B212" s="31">
        <v>911</v>
      </c>
      <c r="C212" s="24" t="s">
        <v>18</v>
      </c>
      <c r="D212" s="24" t="s">
        <v>11</v>
      </c>
      <c r="E212" s="24" t="s">
        <v>205</v>
      </c>
      <c r="F212" s="24" t="s">
        <v>63</v>
      </c>
      <c r="G212" s="25">
        <v>159006.70000000001</v>
      </c>
      <c r="H212" s="25">
        <v>135290.6</v>
      </c>
      <c r="I212" s="25">
        <v>127425.4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s="26" customFormat="1" x14ac:dyDescent="0.2">
      <c r="A213" s="28" t="s">
        <v>70</v>
      </c>
      <c r="B213" s="31">
        <v>911</v>
      </c>
      <c r="C213" s="24" t="s">
        <v>18</v>
      </c>
      <c r="D213" s="24" t="s">
        <v>11</v>
      </c>
      <c r="E213" s="24" t="s">
        <v>205</v>
      </c>
      <c r="F213" s="24" t="s">
        <v>71</v>
      </c>
      <c r="G213" s="25">
        <f>1+133.3</f>
        <v>134.30000000000001</v>
      </c>
      <c r="H213" s="25">
        <f>1+88.3</f>
        <v>89.3</v>
      </c>
      <c r="I213" s="25">
        <f>1+88.3</f>
        <v>89.3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s="9" customFormat="1" x14ac:dyDescent="0.2">
      <c r="A214" s="11" t="s">
        <v>37</v>
      </c>
      <c r="B214" s="14">
        <v>911</v>
      </c>
      <c r="C214" s="8" t="s">
        <v>18</v>
      </c>
      <c r="D214" s="8" t="s">
        <v>13</v>
      </c>
      <c r="E214" s="8"/>
      <c r="F214" s="8"/>
      <c r="G214" s="4">
        <f>G220+G224+G228+G230+G232+G244+G241+G238+G217+G215+G236</f>
        <v>574621.79999999993</v>
      </c>
      <c r="H214" s="4">
        <f t="shared" ref="H214:I214" si="48">H220+H224+H228+H230+H232+H244+H241+H238+H217+H215+H236</f>
        <v>529930.79999999993</v>
      </c>
      <c r="I214" s="4">
        <f t="shared" si="48"/>
        <v>517674.79999999993</v>
      </c>
      <c r="J214" s="106"/>
      <c r="K214" s="106"/>
      <c r="L214" s="106"/>
      <c r="M214" s="106"/>
      <c r="N214" s="106"/>
      <c r="O214" s="106"/>
      <c r="P214" s="106"/>
      <c r="Q214" s="106"/>
    </row>
    <row r="215" spans="1:17" s="9" customFormat="1" ht="25.5" x14ac:dyDescent="0.2">
      <c r="A215" s="18" t="s">
        <v>340</v>
      </c>
      <c r="B215" s="18">
        <v>911</v>
      </c>
      <c r="C215" s="19" t="s">
        <v>18</v>
      </c>
      <c r="D215" s="19" t="s">
        <v>13</v>
      </c>
      <c r="E215" s="19" t="s">
        <v>542</v>
      </c>
      <c r="F215" s="19"/>
      <c r="G215" s="20">
        <f>G216</f>
        <v>125</v>
      </c>
      <c r="H215" s="20">
        <f t="shared" ref="H215:I215" si="49">H216</f>
        <v>0</v>
      </c>
      <c r="I215" s="20">
        <f t="shared" si="49"/>
        <v>0</v>
      </c>
      <c r="J215" s="106"/>
      <c r="K215" s="106"/>
      <c r="L215" s="106"/>
      <c r="M215" s="106"/>
      <c r="N215" s="106"/>
      <c r="O215" s="106"/>
      <c r="P215" s="106"/>
      <c r="Q215" s="106"/>
    </row>
    <row r="216" spans="1:17" s="9" customFormat="1" ht="25.5" x14ac:dyDescent="0.2">
      <c r="A216" s="28" t="s">
        <v>119</v>
      </c>
      <c r="B216" s="28">
        <v>911</v>
      </c>
      <c r="C216" s="24" t="s">
        <v>18</v>
      </c>
      <c r="D216" s="24" t="s">
        <v>13</v>
      </c>
      <c r="E216" s="24" t="s">
        <v>542</v>
      </c>
      <c r="F216" s="24" t="s">
        <v>63</v>
      </c>
      <c r="G216" s="25">
        <f>950-825</f>
        <v>125</v>
      </c>
      <c r="H216" s="25"/>
      <c r="I216" s="25"/>
      <c r="J216" s="106"/>
      <c r="K216" s="106"/>
      <c r="L216" s="106"/>
      <c r="M216" s="106"/>
      <c r="N216" s="106"/>
      <c r="O216" s="106"/>
      <c r="P216" s="106"/>
      <c r="Q216" s="106"/>
    </row>
    <row r="217" spans="1:17" ht="25.5" x14ac:dyDescent="0.2">
      <c r="A217" s="17" t="s">
        <v>135</v>
      </c>
      <c r="B217" s="17">
        <v>911</v>
      </c>
      <c r="C217" s="19" t="s">
        <v>18</v>
      </c>
      <c r="D217" s="19" t="s">
        <v>13</v>
      </c>
      <c r="E217" s="19" t="s">
        <v>134</v>
      </c>
      <c r="F217" s="5"/>
      <c r="G217" s="6">
        <f>G219+G218</f>
        <v>8238.6</v>
      </c>
      <c r="H217" s="6">
        <f t="shared" ref="H217:I217" si="50">H219+H218</f>
        <v>1419.7</v>
      </c>
      <c r="I217" s="6">
        <f t="shared" si="50"/>
        <v>1419.7</v>
      </c>
      <c r="J217" s="194"/>
      <c r="K217" s="194"/>
      <c r="L217" s="194"/>
      <c r="M217" s="194"/>
      <c r="N217" s="194"/>
      <c r="O217" s="194"/>
      <c r="P217" s="194"/>
      <c r="Q217" s="194"/>
    </row>
    <row r="218" spans="1:17" ht="25.5" x14ac:dyDescent="0.2">
      <c r="A218" s="28" t="s">
        <v>74</v>
      </c>
      <c r="B218" s="28">
        <v>911</v>
      </c>
      <c r="C218" s="24" t="s">
        <v>18</v>
      </c>
      <c r="D218" s="24" t="s">
        <v>13</v>
      </c>
      <c r="E218" s="24" t="s">
        <v>134</v>
      </c>
      <c r="F218" s="24" t="s">
        <v>66</v>
      </c>
      <c r="G218" s="25">
        <v>1162.0999999999999</v>
      </c>
      <c r="H218" s="25">
        <v>316.8</v>
      </c>
      <c r="I218" s="25">
        <v>316.8</v>
      </c>
      <c r="J218" s="194"/>
      <c r="K218" s="194"/>
      <c r="L218" s="194"/>
      <c r="M218" s="194"/>
      <c r="N218" s="194"/>
      <c r="O218" s="194"/>
      <c r="P218" s="194"/>
      <c r="Q218" s="194"/>
    </row>
    <row r="219" spans="1:17" ht="25.5" x14ac:dyDescent="0.2">
      <c r="A219" s="28" t="s">
        <v>119</v>
      </c>
      <c r="B219" s="28">
        <v>911</v>
      </c>
      <c r="C219" s="24" t="s">
        <v>18</v>
      </c>
      <c r="D219" s="24" t="s">
        <v>13</v>
      </c>
      <c r="E219" s="24" t="s">
        <v>134</v>
      </c>
      <c r="F219" s="24" t="s">
        <v>63</v>
      </c>
      <c r="G219" s="25">
        <f>6251.5+825</f>
        <v>7076.5</v>
      </c>
      <c r="H219" s="25">
        <v>1102.9000000000001</v>
      </c>
      <c r="I219" s="25">
        <v>1102.9000000000001</v>
      </c>
      <c r="J219" s="100"/>
      <c r="K219" s="100"/>
      <c r="L219" s="100"/>
      <c r="M219" s="100"/>
      <c r="N219" s="100"/>
      <c r="O219" s="100"/>
      <c r="P219" s="100"/>
      <c r="Q219" s="100"/>
    </row>
    <row r="220" spans="1:17" ht="24.75" customHeight="1" x14ac:dyDescent="0.2">
      <c r="A220" s="18" t="s">
        <v>196</v>
      </c>
      <c r="B220" s="22">
        <v>911</v>
      </c>
      <c r="C220" s="19" t="s">
        <v>18</v>
      </c>
      <c r="D220" s="19" t="s">
        <v>13</v>
      </c>
      <c r="E220" s="19" t="s">
        <v>102</v>
      </c>
      <c r="F220" s="19"/>
      <c r="G220" s="20">
        <f>G221+G222+G223</f>
        <v>50379</v>
      </c>
      <c r="H220" s="20">
        <f>H221+H222+H223</f>
        <v>50379</v>
      </c>
      <c r="I220" s="20">
        <f>I221+I222+I223</f>
        <v>50379</v>
      </c>
      <c r="J220" s="194"/>
      <c r="K220" s="194"/>
      <c r="L220" s="194"/>
      <c r="M220" s="194"/>
      <c r="N220" s="194"/>
      <c r="O220" s="194"/>
      <c r="P220" s="194"/>
      <c r="Q220" s="194"/>
    </row>
    <row r="221" spans="1:17" s="26" customFormat="1" ht="50.25" customHeight="1" x14ac:dyDescent="0.2">
      <c r="A221" s="23" t="s">
        <v>64</v>
      </c>
      <c r="B221" s="31">
        <v>911</v>
      </c>
      <c r="C221" s="24" t="s">
        <v>18</v>
      </c>
      <c r="D221" s="24" t="s">
        <v>13</v>
      </c>
      <c r="E221" s="24" t="s">
        <v>102</v>
      </c>
      <c r="F221" s="27" t="s">
        <v>65</v>
      </c>
      <c r="G221" s="25">
        <v>35733.599999999999</v>
      </c>
      <c r="H221" s="25">
        <v>35733.599999999999</v>
      </c>
      <c r="I221" s="25">
        <v>35733.599999999999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s="26" customFormat="1" ht="24.75" customHeight="1" x14ac:dyDescent="0.2">
      <c r="A222" s="28" t="s">
        <v>74</v>
      </c>
      <c r="B222" s="31">
        <v>911</v>
      </c>
      <c r="C222" s="24" t="s">
        <v>18</v>
      </c>
      <c r="D222" s="24" t="s">
        <v>13</v>
      </c>
      <c r="E222" s="24" t="s">
        <v>102</v>
      </c>
      <c r="F222" s="27" t="s">
        <v>66</v>
      </c>
      <c r="G222" s="25">
        <v>14203.5</v>
      </c>
      <c r="H222" s="25">
        <v>14203.5</v>
      </c>
      <c r="I222" s="25">
        <v>14203.5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s="26" customFormat="1" x14ac:dyDescent="0.2">
      <c r="A223" s="28" t="s">
        <v>70</v>
      </c>
      <c r="B223" s="31">
        <v>911</v>
      </c>
      <c r="C223" s="24" t="s">
        <v>18</v>
      </c>
      <c r="D223" s="24" t="s">
        <v>13</v>
      </c>
      <c r="E223" s="24" t="s">
        <v>102</v>
      </c>
      <c r="F223" s="24" t="s">
        <v>71</v>
      </c>
      <c r="G223" s="25">
        <v>441.9</v>
      </c>
      <c r="H223" s="25">
        <v>441.9</v>
      </c>
      <c r="I223" s="25">
        <v>441.9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76.5" x14ac:dyDescent="0.2">
      <c r="A224" s="18" t="s">
        <v>197</v>
      </c>
      <c r="B224" s="22">
        <v>911</v>
      </c>
      <c r="C224" s="19" t="s">
        <v>18</v>
      </c>
      <c r="D224" s="19" t="s">
        <v>13</v>
      </c>
      <c r="E224" s="19" t="s">
        <v>100</v>
      </c>
      <c r="F224" s="19"/>
      <c r="G224" s="20">
        <f>G227+G225+G226</f>
        <v>424840</v>
      </c>
      <c r="H224" s="20">
        <f>H227+H225+H226</f>
        <v>424840</v>
      </c>
      <c r="I224" s="20">
        <f>I227+I225+I226</f>
        <v>424840</v>
      </c>
      <c r="J224" s="100"/>
      <c r="K224" s="100"/>
      <c r="L224" s="100"/>
      <c r="M224" s="100"/>
      <c r="N224" s="100"/>
      <c r="O224" s="100"/>
      <c r="P224" s="100"/>
      <c r="Q224" s="100"/>
    </row>
    <row r="225" spans="1:17" s="26" customFormat="1" ht="51" customHeight="1" x14ac:dyDescent="0.2">
      <c r="A225" s="23" t="s">
        <v>64</v>
      </c>
      <c r="B225" s="31">
        <v>911</v>
      </c>
      <c r="C225" s="24" t="s">
        <v>18</v>
      </c>
      <c r="D225" s="24" t="s">
        <v>13</v>
      </c>
      <c r="E225" s="24" t="s">
        <v>100</v>
      </c>
      <c r="F225" s="27" t="s">
        <v>65</v>
      </c>
      <c r="G225" s="25">
        <v>68740</v>
      </c>
      <c r="H225" s="25">
        <v>68740</v>
      </c>
      <c r="I225" s="25">
        <v>68740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s="26" customFormat="1" ht="25.5" x14ac:dyDescent="0.2">
      <c r="A226" s="28" t="s">
        <v>74</v>
      </c>
      <c r="B226" s="31">
        <v>911</v>
      </c>
      <c r="C226" s="24" t="s">
        <v>18</v>
      </c>
      <c r="D226" s="24" t="s">
        <v>13</v>
      </c>
      <c r="E226" s="24" t="s">
        <v>100</v>
      </c>
      <c r="F226" s="27" t="s">
        <v>66</v>
      </c>
      <c r="G226" s="25">
        <v>2061.1</v>
      </c>
      <c r="H226" s="25">
        <v>2061.1</v>
      </c>
      <c r="I226" s="25">
        <v>2061.1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s="26" customFormat="1" ht="25.5" x14ac:dyDescent="0.2">
      <c r="A227" s="28" t="s">
        <v>119</v>
      </c>
      <c r="B227" s="31">
        <v>911</v>
      </c>
      <c r="C227" s="24" t="s">
        <v>18</v>
      </c>
      <c r="D227" s="24" t="s">
        <v>13</v>
      </c>
      <c r="E227" s="24" t="s">
        <v>100</v>
      </c>
      <c r="F227" s="24" t="s">
        <v>63</v>
      </c>
      <c r="G227" s="25">
        <v>354038.9</v>
      </c>
      <c r="H227" s="25">
        <v>354038.9</v>
      </c>
      <c r="I227" s="25">
        <v>354038.9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s="21" customFormat="1" ht="38.25" x14ac:dyDescent="0.2">
      <c r="A228" s="18" t="s">
        <v>198</v>
      </c>
      <c r="B228" s="22">
        <v>911</v>
      </c>
      <c r="C228" s="19" t="s">
        <v>18</v>
      </c>
      <c r="D228" s="19" t="s">
        <v>13</v>
      </c>
      <c r="E228" s="19" t="s">
        <v>101</v>
      </c>
      <c r="F228" s="19"/>
      <c r="G228" s="20">
        <f>G229</f>
        <v>3880.1</v>
      </c>
      <c r="H228" s="20">
        <f>H229</f>
        <v>3880.1</v>
      </c>
      <c r="I228" s="20">
        <f>I229</f>
        <v>3880.1</v>
      </c>
    </row>
    <row r="229" spans="1:17" s="26" customFormat="1" ht="25.5" x14ac:dyDescent="0.2">
      <c r="A229" s="28" t="s">
        <v>74</v>
      </c>
      <c r="B229" s="31">
        <v>911</v>
      </c>
      <c r="C229" s="24" t="s">
        <v>18</v>
      </c>
      <c r="D229" s="24" t="s">
        <v>13</v>
      </c>
      <c r="E229" s="24" t="s">
        <v>101</v>
      </c>
      <c r="F229" s="27" t="s">
        <v>66</v>
      </c>
      <c r="G229" s="25">
        <v>3880.1</v>
      </c>
      <c r="H229" s="25">
        <v>3880.1</v>
      </c>
      <c r="I229" s="25">
        <v>3880.1</v>
      </c>
    </row>
    <row r="230" spans="1:17" s="71" customFormat="1" ht="63.75" x14ac:dyDescent="0.2">
      <c r="A230" s="67" t="s">
        <v>281</v>
      </c>
      <c r="B230" s="68">
        <v>911</v>
      </c>
      <c r="C230" s="69" t="s">
        <v>18</v>
      </c>
      <c r="D230" s="69" t="s">
        <v>13</v>
      </c>
      <c r="E230" s="69" t="s">
        <v>200</v>
      </c>
      <c r="F230" s="69"/>
      <c r="G230" s="70">
        <f>G231</f>
        <v>74254.899999999994</v>
      </c>
      <c r="H230" s="70">
        <f>H231</f>
        <v>39999.5</v>
      </c>
      <c r="I230" s="70">
        <f>I231</f>
        <v>28557.599999999999</v>
      </c>
      <c r="J230" s="100"/>
      <c r="K230" s="100"/>
      <c r="L230" s="100"/>
      <c r="M230" s="100"/>
      <c r="N230" s="100"/>
      <c r="O230" s="100"/>
      <c r="P230" s="100"/>
      <c r="Q230" s="100"/>
    </row>
    <row r="231" spans="1:17" s="26" customFormat="1" ht="25.5" x14ac:dyDescent="0.2">
      <c r="A231" s="28" t="s">
        <v>119</v>
      </c>
      <c r="B231" s="31">
        <v>911</v>
      </c>
      <c r="C231" s="24" t="s">
        <v>18</v>
      </c>
      <c r="D231" s="24" t="s">
        <v>13</v>
      </c>
      <c r="E231" s="24" t="s">
        <v>200</v>
      </c>
      <c r="F231" s="24" t="s">
        <v>63</v>
      </c>
      <c r="G231" s="25">
        <v>74254.899999999994</v>
      </c>
      <c r="H231" s="25">
        <v>39999.5</v>
      </c>
      <c r="I231" s="25">
        <v>28557.599999999999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63.75" x14ac:dyDescent="0.2">
      <c r="A232" s="18" t="s">
        <v>203</v>
      </c>
      <c r="B232" s="22">
        <v>911</v>
      </c>
      <c r="C232" s="19" t="s">
        <v>18</v>
      </c>
      <c r="D232" s="19" t="s">
        <v>13</v>
      </c>
      <c r="E232" s="19" t="s">
        <v>202</v>
      </c>
      <c r="F232" s="19"/>
      <c r="G232" s="20">
        <f>G233+G234+G235</f>
        <v>7554.6</v>
      </c>
      <c r="H232" s="20">
        <f>H233+H234+H235</f>
        <v>4312.9000000000005</v>
      </c>
      <c r="I232" s="20">
        <f>I233+I234+I235</f>
        <v>3498.7999999999997</v>
      </c>
      <c r="J232" s="194"/>
      <c r="K232" s="194"/>
      <c r="L232" s="194"/>
      <c r="M232" s="194"/>
      <c r="N232" s="194"/>
      <c r="O232" s="194"/>
      <c r="P232" s="194"/>
      <c r="Q232" s="194"/>
    </row>
    <row r="233" spans="1:17" s="26" customFormat="1" ht="54.75" customHeight="1" x14ac:dyDescent="0.2">
      <c r="A233" s="30" t="s">
        <v>64</v>
      </c>
      <c r="B233" s="32">
        <v>911</v>
      </c>
      <c r="C233" s="24" t="s">
        <v>18</v>
      </c>
      <c r="D233" s="24" t="s">
        <v>13</v>
      </c>
      <c r="E233" s="24" t="s">
        <v>202</v>
      </c>
      <c r="F233" s="27" t="s">
        <v>65</v>
      </c>
      <c r="G233" s="25">
        <v>3.3</v>
      </c>
      <c r="H233" s="25"/>
      <c r="I233" s="25"/>
    </row>
    <row r="234" spans="1:17" s="26" customFormat="1" ht="25.5" x14ac:dyDescent="0.2">
      <c r="A234" s="28" t="s">
        <v>74</v>
      </c>
      <c r="B234" s="32">
        <v>911</v>
      </c>
      <c r="C234" s="24" t="s">
        <v>18</v>
      </c>
      <c r="D234" s="24" t="s">
        <v>13</v>
      </c>
      <c r="E234" s="24" t="s">
        <v>202</v>
      </c>
      <c r="F234" s="27" t="s">
        <v>66</v>
      </c>
      <c r="G234" s="25">
        <f>540.8+6689.6</f>
        <v>7230.4000000000005</v>
      </c>
      <c r="H234" s="25">
        <f>540.8+3467</f>
        <v>4007.8</v>
      </c>
      <c r="I234" s="25">
        <f>540.8+2652.9</f>
        <v>3193.7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s="26" customFormat="1" x14ac:dyDescent="0.2">
      <c r="A235" s="28" t="s">
        <v>70</v>
      </c>
      <c r="B235" s="31">
        <v>911</v>
      </c>
      <c r="C235" s="24" t="s">
        <v>18</v>
      </c>
      <c r="D235" s="24" t="s">
        <v>13</v>
      </c>
      <c r="E235" s="24" t="s">
        <v>202</v>
      </c>
      <c r="F235" s="24" t="s">
        <v>71</v>
      </c>
      <c r="G235" s="25">
        <f>52+268.9</f>
        <v>320.89999999999998</v>
      </c>
      <c r="H235" s="25">
        <f>52+253.1</f>
        <v>305.10000000000002</v>
      </c>
      <c r="I235" s="25">
        <f>52+253.1</f>
        <v>305.10000000000002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89.25" x14ac:dyDescent="0.2">
      <c r="A236" s="18" t="s">
        <v>587</v>
      </c>
      <c r="B236" s="22">
        <v>911</v>
      </c>
      <c r="C236" s="19" t="s">
        <v>18</v>
      </c>
      <c r="D236" s="19" t="s">
        <v>13</v>
      </c>
      <c r="E236" s="19" t="s">
        <v>586</v>
      </c>
      <c r="F236" s="19"/>
      <c r="G236" s="20">
        <f>G237</f>
        <v>3525.6</v>
      </c>
      <c r="H236" s="20">
        <f t="shared" ref="H236:I236" si="51">H237</f>
        <v>3525.6</v>
      </c>
      <c r="I236" s="20">
        <f t="shared" si="51"/>
        <v>3525.6</v>
      </c>
      <c r="J236" s="194"/>
      <c r="K236" s="194"/>
      <c r="L236" s="194"/>
      <c r="M236" s="194"/>
      <c r="N236" s="194"/>
      <c r="O236" s="194"/>
      <c r="P236" s="194"/>
      <c r="Q236" s="194"/>
    </row>
    <row r="237" spans="1:17" s="26" customFormat="1" ht="25.5" x14ac:dyDescent="0.2">
      <c r="A237" s="28" t="s">
        <v>74</v>
      </c>
      <c r="B237" s="32">
        <v>911</v>
      </c>
      <c r="C237" s="24" t="s">
        <v>18</v>
      </c>
      <c r="D237" s="24" t="s">
        <v>13</v>
      </c>
      <c r="E237" s="24" t="s">
        <v>586</v>
      </c>
      <c r="F237" s="27" t="s">
        <v>63</v>
      </c>
      <c r="G237" s="25">
        <v>3525.6</v>
      </c>
      <c r="H237" s="25">
        <v>3525.6</v>
      </c>
      <c r="I237" s="25">
        <v>3525.6</v>
      </c>
    </row>
    <row r="238" spans="1:17" s="21" customFormat="1" ht="25.5" x14ac:dyDescent="0.2">
      <c r="A238" s="18" t="s">
        <v>199</v>
      </c>
      <c r="B238" s="18">
        <v>911</v>
      </c>
      <c r="C238" s="19" t="s">
        <v>18</v>
      </c>
      <c r="D238" s="19" t="s">
        <v>13</v>
      </c>
      <c r="E238" s="19" t="s">
        <v>116</v>
      </c>
      <c r="F238" s="19"/>
      <c r="G238" s="20">
        <f>G240+G239</f>
        <v>365</v>
      </c>
      <c r="H238" s="20">
        <f t="shared" ref="H238:I238" si="52">H240+H239</f>
        <v>365</v>
      </c>
      <c r="I238" s="20">
        <f t="shared" si="52"/>
        <v>365</v>
      </c>
    </row>
    <row r="239" spans="1:17" s="26" customFormat="1" ht="25.5" x14ac:dyDescent="0.2">
      <c r="A239" s="28" t="s">
        <v>74</v>
      </c>
      <c r="B239" s="28">
        <v>911</v>
      </c>
      <c r="C239" s="24" t="s">
        <v>18</v>
      </c>
      <c r="D239" s="24" t="s">
        <v>13</v>
      </c>
      <c r="E239" s="24" t="s">
        <v>116</v>
      </c>
      <c r="F239" s="27" t="s">
        <v>66</v>
      </c>
      <c r="G239" s="25">
        <f>29.5+28.2</f>
        <v>57.7</v>
      </c>
      <c r="H239" s="25">
        <f>29.5+28.2</f>
        <v>57.7</v>
      </c>
      <c r="I239" s="25">
        <f>29.5+28.2</f>
        <v>57.7</v>
      </c>
    </row>
    <row r="240" spans="1:17" s="21" customFormat="1" ht="25.5" x14ac:dyDescent="0.2">
      <c r="A240" s="28" t="s">
        <v>119</v>
      </c>
      <c r="B240" s="28">
        <v>911</v>
      </c>
      <c r="C240" s="24" t="s">
        <v>18</v>
      </c>
      <c r="D240" s="24" t="s">
        <v>13</v>
      </c>
      <c r="E240" s="24" t="s">
        <v>116</v>
      </c>
      <c r="F240" s="24" t="s">
        <v>63</v>
      </c>
      <c r="G240" s="25">
        <v>307.3</v>
      </c>
      <c r="H240" s="25">
        <v>307.3</v>
      </c>
      <c r="I240" s="25">
        <v>307.3</v>
      </c>
    </row>
    <row r="241" spans="1:17" s="21" customFormat="1" ht="25.5" x14ac:dyDescent="0.2">
      <c r="A241" s="18" t="s">
        <v>204</v>
      </c>
      <c r="B241" s="18">
        <v>911</v>
      </c>
      <c r="C241" s="19" t="s">
        <v>18</v>
      </c>
      <c r="D241" s="19" t="s">
        <v>13</v>
      </c>
      <c r="E241" s="19" t="s">
        <v>117</v>
      </c>
      <c r="F241" s="19"/>
      <c r="G241" s="20">
        <f>G243+G242</f>
        <v>1209</v>
      </c>
      <c r="H241" s="20">
        <f>H243+H242</f>
        <v>1209</v>
      </c>
      <c r="I241" s="20">
        <f>I243+I242</f>
        <v>1209</v>
      </c>
    </row>
    <row r="242" spans="1:17" s="9" customFormat="1" x14ac:dyDescent="0.2">
      <c r="A242" s="28" t="s">
        <v>67</v>
      </c>
      <c r="B242" s="28">
        <v>911</v>
      </c>
      <c r="C242" s="24" t="s">
        <v>18</v>
      </c>
      <c r="D242" s="24" t="s">
        <v>13</v>
      </c>
      <c r="E242" s="19" t="s">
        <v>117</v>
      </c>
      <c r="F242" s="24" t="s">
        <v>68</v>
      </c>
      <c r="G242" s="25">
        <v>31.1</v>
      </c>
      <c r="H242" s="25">
        <v>31.1</v>
      </c>
      <c r="I242" s="25">
        <v>31.1</v>
      </c>
    </row>
    <row r="243" spans="1:17" s="21" customFormat="1" ht="25.5" x14ac:dyDescent="0.2">
      <c r="A243" s="28" t="s">
        <v>119</v>
      </c>
      <c r="B243" s="28">
        <v>911</v>
      </c>
      <c r="C243" s="24" t="s">
        <v>18</v>
      </c>
      <c r="D243" s="24" t="s">
        <v>13</v>
      </c>
      <c r="E243" s="19" t="s">
        <v>117</v>
      </c>
      <c r="F243" s="24" t="s">
        <v>63</v>
      </c>
      <c r="G243" s="25">
        <v>1177.9000000000001</v>
      </c>
      <c r="H243" s="25">
        <v>1177.9000000000001</v>
      </c>
      <c r="I243" s="25">
        <v>1177.9000000000001</v>
      </c>
    </row>
    <row r="244" spans="1:17" s="71" customFormat="1" ht="25.5" x14ac:dyDescent="0.2">
      <c r="A244" s="67" t="s">
        <v>284</v>
      </c>
      <c r="B244" s="67">
        <v>911</v>
      </c>
      <c r="C244" s="69" t="s">
        <v>18</v>
      </c>
      <c r="D244" s="69" t="s">
        <v>13</v>
      </c>
      <c r="E244" s="69" t="s">
        <v>274</v>
      </c>
      <c r="F244" s="69"/>
      <c r="G244" s="70">
        <f>G246+G245</f>
        <v>250</v>
      </c>
      <c r="H244" s="70">
        <f>H246+H245</f>
        <v>0</v>
      </c>
      <c r="I244" s="70">
        <f>I246+I245</f>
        <v>0</v>
      </c>
      <c r="J244" s="100"/>
      <c r="K244" s="100"/>
      <c r="L244" s="100"/>
      <c r="M244" s="100"/>
      <c r="N244" s="100"/>
      <c r="O244" s="100"/>
      <c r="P244" s="100"/>
      <c r="Q244" s="100"/>
    </row>
    <row r="245" spans="1:17" s="71" customFormat="1" x14ac:dyDescent="0.2">
      <c r="A245" s="79" t="s">
        <v>67</v>
      </c>
      <c r="B245" s="79">
        <v>911</v>
      </c>
      <c r="C245" s="74" t="s">
        <v>18</v>
      </c>
      <c r="D245" s="74" t="s">
        <v>13</v>
      </c>
      <c r="E245" s="69" t="s">
        <v>274</v>
      </c>
      <c r="F245" s="74" t="s">
        <v>68</v>
      </c>
      <c r="G245" s="54">
        <v>20</v>
      </c>
      <c r="H245" s="54"/>
      <c r="I245" s="54"/>
      <c r="J245" s="100"/>
      <c r="K245" s="100"/>
      <c r="L245" s="100"/>
      <c r="M245" s="100"/>
      <c r="N245" s="100"/>
      <c r="O245" s="100"/>
      <c r="P245" s="100"/>
      <c r="Q245" s="100"/>
    </row>
    <row r="246" spans="1:17" s="71" customFormat="1" ht="25.5" x14ac:dyDescent="0.2">
      <c r="A246" s="79" t="s">
        <v>119</v>
      </c>
      <c r="B246" s="79">
        <v>911</v>
      </c>
      <c r="C246" s="74" t="s">
        <v>18</v>
      </c>
      <c r="D246" s="74" t="s">
        <v>13</v>
      </c>
      <c r="E246" s="69" t="s">
        <v>274</v>
      </c>
      <c r="F246" s="74" t="s">
        <v>63</v>
      </c>
      <c r="G246" s="54">
        <v>230</v>
      </c>
      <c r="H246" s="54"/>
      <c r="I246" s="54"/>
      <c r="J246" s="100"/>
      <c r="K246" s="100"/>
      <c r="L246" s="100"/>
      <c r="M246" s="100"/>
      <c r="N246" s="100"/>
      <c r="O246" s="100"/>
      <c r="P246" s="100"/>
      <c r="Q246" s="100"/>
    </row>
    <row r="247" spans="1:17" s="66" customFormat="1" x14ac:dyDescent="0.2">
      <c r="A247" s="62" t="s">
        <v>275</v>
      </c>
      <c r="B247" s="63">
        <v>911</v>
      </c>
      <c r="C247" s="64" t="s">
        <v>18</v>
      </c>
      <c r="D247" s="64" t="s">
        <v>15</v>
      </c>
      <c r="E247" s="64"/>
      <c r="F247" s="64"/>
      <c r="G247" s="65">
        <f>G250+G248+G252</f>
        <v>131408.30000000002</v>
      </c>
      <c r="H247" s="65">
        <f t="shared" ref="H247:I247" si="53">H250+H248+H252</f>
        <v>120688.20000000001</v>
      </c>
      <c r="I247" s="65">
        <f t="shared" si="53"/>
        <v>117468.50000000001</v>
      </c>
    </row>
    <row r="248" spans="1:17" ht="25.5" x14ac:dyDescent="0.2">
      <c r="A248" s="17" t="s">
        <v>135</v>
      </c>
      <c r="B248" s="17">
        <v>911</v>
      </c>
      <c r="C248" s="19" t="s">
        <v>18</v>
      </c>
      <c r="D248" s="19" t="s">
        <v>15</v>
      </c>
      <c r="E248" s="19" t="s">
        <v>134</v>
      </c>
      <c r="F248" s="5"/>
      <c r="G248" s="6">
        <f>G249</f>
        <v>2000.6</v>
      </c>
      <c r="H248" s="6">
        <f t="shared" ref="H248:I248" si="54">H249</f>
        <v>224.8</v>
      </c>
      <c r="I248" s="6">
        <f t="shared" si="54"/>
        <v>224.8</v>
      </c>
      <c r="J248" s="194"/>
      <c r="K248" s="194"/>
      <c r="L248" s="194"/>
      <c r="M248" s="194"/>
      <c r="N248" s="194"/>
      <c r="O248" s="194"/>
      <c r="P248" s="194"/>
      <c r="Q248" s="194"/>
    </row>
    <row r="249" spans="1:17" ht="25.5" x14ac:dyDescent="0.2">
      <c r="A249" s="28" t="s">
        <v>119</v>
      </c>
      <c r="B249" s="28">
        <v>911</v>
      </c>
      <c r="C249" s="24" t="s">
        <v>18</v>
      </c>
      <c r="D249" s="24" t="s">
        <v>15</v>
      </c>
      <c r="E249" s="24" t="s">
        <v>134</v>
      </c>
      <c r="F249" s="24" t="s">
        <v>63</v>
      </c>
      <c r="G249" s="25">
        <v>2000.6</v>
      </c>
      <c r="H249" s="25">
        <v>224.8</v>
      </c>
      <c r="I249" s="25">
        <v>224.8</v>
      </c>
      <c r="J249" s="100"/>
      <c r="K249" s="100"/>
      <c r="L249" s="100"/>
      <c r="M249" s="100"/>
      <c r="N249" s="100"/>
      <c r="O249" s="100"/>
      <c r="P249" s="100"/>
      <c r="Q249" s="100"/>
    </row>
    <row r="250" spans="1:17" ht="63.75" x14ac:dyDescent="0.2">
      <c r="A250" s="18" t="s">
        <v>281</v>
      </c>
      <c r="B250" s="22">
        <v>911</v>
      </c>
      <c r="C250" s="19" t="s">
        <v>18</v>
      </c>
      <c r="D250" s="19" t="s">
        <v>15</v>
      </c>
      <c r="E250" s="19" t="s">
        <v>201</v>
      </c>
      <c r="F250" s="19"/>
      <c r="G250" s="20">
        <f>G251</f>
        <v>114802.1</v>
      </c>
      <c r="H250" s="20">
        <f>H251</f>
        <v>105857.8</v>
      </c>
      <c r="I250" s="20">
        <f>I251</f>
        <v>102638.1</v>
      </c>
      <c r="J250" s="194"/>
      <c r="K250" s="194"/>
      <c r="L250" s="194"/>
      <c r="M250" s="194"/>
      <c r="N250" s="194"/>
      <c r="O250" s="194"/>
      <c r="P250" s="194"/>
      <c r="Q250" s="194"/>
    </row>
    <row r="251" spans="1:17" s="26" customFormat="1" ht="25.5" x14ac:dyDescent="0.2">
      <c r="A251" s="28" t="s">
        <v>119</v>
      </c>
      <c r="B251" s="31">
        <v>911</v>
      </c>
      <c r="C251" s="24" t="s">
        <v>18</v>
      </c>
      <c r="D251" s="24" t="s">
        <v>15</v>
      </c>
      <c r="E251" s="24" t="s">
        <v>201</v>
      </c>
      <c r="F251" s="24" t="s">
        <v>63</v>
      </c>
      <c r="G251" s="25">
        <v>114802.1</v>
      </c>
      <c r="H251" s="25">
        <v>105857.8</v>
      </c>
      <c r="I251" s="25">
        <v>102638.1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25.5" x14ac:dyDescent="0.2">
      <c r="A252" s="18" t="s">
        <v>543</v>
      </c>
      <c r="B252" s="22">
        <v>911</v>
      </c>
      <c r="C252" s="19" t="s">
        <v>18</v>
      </c>
      <c r="D252" s="19" t="s">
        <v>15</v>
      </c>
      <c r="E252" s="19" t="s">
        <v>544</v>
      </c>
      <c r="F252" s="19"/>
      <c r="G252" s="20">
        <f>G253</f>
        <v>14605.6</v>
      </c>
      <c r="H252" s="20">
        <f t="shared" ref="H252:I252" si="55">H253</f>
        <v>14605.6</v>
      </c>
      <c r="I252" s="20">
        <f t="shared" si="55"/>
        <v>14605.6</v>
      </c>
      <c r="J252" s="100"/>
      <c r="K252" s="100"/>
      <c r="L252" s="100"/>
      <c r="M252" s="100"/>
      <c r="N252" s="100"/>
      <c r="O252" s="100"/>
      <c r="P252" s="100"/>
      <c r="Q252" s="100"/>
    </row>
    <row r="253" spans="1:17" s="26" customFormat="1" ht="25.5" x14ac:dyDescent="0.2">
      <c r="A253" s="28" t="s">
        <v>119</v>
      </c>
      <c r="B253" s="31">
        <v>911</v>
      </c>
      <c r="C253" s="24" t="s">
        <v>18</v>
      </c>
      <c r="D253" s="24" t="s">
        <v>15</v>
      </c>
      <c r="E253" s="24" t="s">
        <v>544</v>
      </c>
      <c r="F253" s="24" t="s">
        <v>63</v>
      </c>
      <c r="G253" s="25">
        <v>14605.6</v>
      </c>
      <c r="H253" s="25">
        <v>14605.6</v>
      </c>
      <c r="I253" s="25">
        <v>14605.6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s="66" customFormat="1" x14ac:dyDescent="0.2">
      <c r="A254" s="62" t="s">
        <v>39</v>
      </c>
      <c r="B254" s="63">
        <v>911</v>
      </c>
      <c r="C254" s="64" t="s">
        <v>18</v>
      </c>
      <c r="D254" s="64" t="s">
        <v>25</v>
      </c>
      <c r="E254" s="64"/>
      <c r="F254" s="64"/>
      <c r="G254" s="65">
        <f>G260+G262+G265+G268+G272+G275+G278+G280+G257+G255</f>
        <v>83158.5</v>
      </c>
      <c r="H254" s="65">
        <f t="shared" ref="H254:I254" si="56">H260+H262+H265+H268+H272+H275+H278+H280+H257+H255</f>
        <v>76780.200000000012</v>
      </c>
      <c r="I254" s="65">
        <f t="shared" si="56"/>
        <v>75227.600000000006</v>
      </c>
    </row>
    <row r="255" spans="1:17" ht="25.5" x14ac:dyDescent="0.2">
      <c r="A255" s="17" t="s">
        <v>135</v>
      </c>
      <c r="B255" s="17">
        <v>911</v>
      </c>
      <c r="C255" s="19" t="s">
        <v>18</v>
      </c>
      <c r="D255" s="19" t="s">
        <v>25</v>
      </c>
      <c r="E255" s="19" t="s">
        <v>134</v>
      </c>
      <c r="F255" s="5"/>
      <c r="G255" s="6">
        <f>G256</f>
        <v>66</v>
      </c>
      <c r="H255" s="6">
        <f t="shared" ref="H255:I255" si="57">H256</f>
        <v>26</v>
      </c>
      <c r="I255" s="6">
        <f t="shared" si="57"/>
        <v>26</v>
      </c>
      <c r="J255" s="194"/>
      <c r="K255" s="194"/>
      <c r="L255" s="194"/>
      <c r="M255" s="194"/>
      <c r="N255" s="194"/>
      <c r="O255" s="194"/>
      <c r="P255" s="194"/>
      <c r="Q255" s="194"/>
    </row>
    <row r="256" spans="1:17" s="71" customFormat="1" ht="25.5" x14ac:dyDescent="0.2">
      <c r="A256" s="79" t="s">
        <v>119</v>
      </c>
      <c r="B256" s="79">
        <v>911</v>
      </c>
      <c r="C256" s="74" t="s">
        <v>18</v>
      </c>
      <c r="D256" s="74" t="s">
        <v>25</v>
      </c>
      <c r="E256" s="74" t="s">
        <v>134</v>
      </c>
      <c r="F256" s="74" t="s">
        <v>63</v>
      </c>
      <c r="G256" s="54">
        <v>66</v>
      </c>
      <c r="H256" s="54">
        <v>26</v>
      </c>
      <c r="I256" s="54">
        <v>26</v>
      </c>
    </row>
    <row r="257" spans="1:17" ht="29.25" customHeight="1" x14ac:dyDescent="0.2">
      <c r="A257" s="18" t="s">
        <v>156</v>
      </c>
      <c r="B257" s="18">
        <v>911</v>
      </c>
      <c r="C257" s="19" t="s">
        <v>18</v>
      </c>
      <c r="D257" s="19" t="s">
        <v>25</v>
      </c>
      <c r="E257" s="19" t="s">
        <v>115</v>
      </c>
      <c r="F257" s="19"/>
      <c r="G257" s="20">
        <f>G259+G258</f>
        <v>4445</v>
      </c>
      <c r="H257" s="20">
        <f t="shared" ref="H257:I257" si="58">H259+H258</f>
        <v>4445</v>
      </c>
      <c r="I257" s="20">
        <f t="shared" si="58"/>
        <v>4445</v>
      </c>
      <c r="J257" s="100"/>
      <c r="K257" s="100"/>
      <c r="L257" s="100"/>
      <c r="M257" s="100"/>
      <c r="N257" s="100"/>
      <c r="O257" s="100"/>
      <c r="P257" s="100"/>
      <c r="Q257" s="100"/>
    </row>
    <row r="258" spans="1:17" ht="25.5" x14ac:dyDescent="0.2">
      <c r="A258" s="28" t="s">
        <v>74</v>
      </c>
      <c r="B258" s="28">
        <v>911</v>
      </c>
      <c r="C258" s="24" t="s">
        <v>18</v>
      </c>
      <c r="D258" s="24" t="s">
        <v>25</v>
      </c>
      <c r="E258" s="24" t="s">
        <v>115</v>
      </c>
      <c r="F258" s="24" t="s">
        <v>66</v>
      </c>
      <c r="G258" s="25">
        <v>101.25</v>
      </c>
      <c r="H258" s="25">
        <v>101.25</v>
      </c>
      <c r="I258" s="25">
        <v>101.25</v>
      </c>
      <c r="J258" s="100"/>
      <c r="K258" s="100"/>
      <c r="L258" s="100"/>
      <c r="M258" s="100"/>
      <c r="N258" s="100"/>
      <c r="O258" s="100"/>
      <c r="P258" s="100"/>
      <c r="Q258" s="100"/>
    </row>
    <row r="259" spans="1:17" ht="25.5" x14ac:dyDescent="0.2">
      <c r="A259" s="28" t="s">
        <v>119</v>
      </c>
      <c r="B259" s="28">
        <v>911</v>
      </c>
      <c r="C259" s="24" t="s">
        <v>18</v>
      </c>
      <c r="D259" s="24" t="s">
        <v>25</v>
      </c>
      <c r="E259" s="24" t="s">
        <v>115</v>
      </c>
      <c r="F259" s="24" t="s">
        <v>63</v>
      </c>
      <c r="G259" s="25">
        <f>54+3950+339.75</f>
        <v>4343.75</v>
      </c>
      <c r="H259" s="25">
        <f>54+3950+339.75</f>
        <v>4343.75</v>
      </c>
      <c r="I259" s="25">
        <f>54+3950+339.75</f>
        <v>4343.75</v>
      </c>
      <c r="J259" s="100"/>
      <c r="K259" s="100"/>
      <c r="L259" s="100"/>
      <c r="M259" s="100"/>
      <c r="N259" s="100"/>
      <c r="O259" s="100"/>
      <c r="P259" s="100"/>
      <c r="Q259" s="100"/>
    </row>
    <row r="260" spans="1:17" ht="25.5" x14ac:dyDescent="0.2">
      <c r="A260" s="18" t="s">
        <v>282</v>
      </c>
      <c r="B260" s="22">
        <v>911</v>
      </c>
      <c r="C260" s="19" t="s">
        <v>18</v>
      </c>
      <c r="D260" s="19" t="s">
        <v>25</v>
      </c>
      <c r="E260" s="19" t="s">
        <v>206</v>
      </c>
      <c r="F260" s="19"/>
      <c r="G260" s="20">
        <f>+G261</f>
        <v>140</v>
      </c>
      <c r="H260" s="20">
        <f t="shared" ref="H260:I260" si="59">+H261</f>
        <v>0</v>
      </c>
      <c r="I260" s="20">
        <f t="shared" si="59"/>
        <v>0</v>
      </c>
      <c r="J260" s="100"/>
      <c r="K260" s="100"/>
      <c r="L260" s="100"/>
      <c r="M260" s="100"/>
      <c r="N260" s="100"/>
      <c r="O260" s="100"/>
      <c r="P260" s="100"/>
      <c r="Q260" s="100"/>
    </row>
    <row r="261" spans="1:17" s="26" customFormat="1" ht="25.5" x14ac:dyDescent="0.2">
      <c r="A261" s="28" t="s">
        <v>119</v>
      </c>
      <c r="B261" s="31">
        <v>911</v>
      </c>
      <c r="C261" s="24" t="s">
        <v>18</v>
      </c>
      <c r="D261" s="24" t="s">
        <v>25</v>
      </c>
      <c r="E261" s="24" t="s">
        <v>206</v>
      </c>
      <c r="F261" s="24" t="s">
        <v>63</v>
      </c>
      <c r="G261" s="25">
        <v>140</v>
      </c>
      <c r="H261" s="25"/>
      <c r="I261" s="25"/>
      <c r="J261" s="101"/>
      <c r="K261" s="101"/>
      <c r="L261" s="101"/>
      <c r="M261" s="101"/>
      <c r="N261" s="101"/>
      <c r="O261" s="101"/>
      <c r="P261" s="101"/>
      <c r="Q261" s="101"/>
    </row>
    <row r="262" spans="1:17" s="71" customFormat="1" ht="25.5" x14ac:dyDescent="0.2">
      <c r="A262" s="67" t="s">
        <v>282</v>
      </c>
      <c r="B262" s="68">
        <v>911</v>
      </c>
      <c r="C262" s="69" t="s">
        <v>18</v>
      </c>
      <c r="D262" s="69" t="s">
        <v>25</v>
      </c>
      <c r="E262" s="69" t="s">
        <v>157</v>
      </c>
      <c r="F262" s="69"/>
      <c r="G262" s="70">
        <f>G264+G263</f>
        <v>323.3</v>
      </c>
      <c r="H262" s="70">
        <f t="shared" ref="H262:I262" si="60">H264+H263</f>
        <v>59.4</v>
      </c>
      <c r="I262" s="70">
        <f t="shared" si="60"/>
        <v>59.4</v>
      </c>
    </row>
    <row r="263" spans="1:17" s="26" customFormat="1" ht="25.5" x14ac:dyDescent="0.2">
      <c r="A263" s="28" t="s">
        <v>74</v>
      </c>
      <c r="B263" s="31">
        <v>911</v>
      </c>
      <c r="C263" s="24" t="s">
        <v>18</v>
      </c>
      <c r="D263" s="24" t="s">
        <v>25</v>
      </c>
      <c r="E263" s="24" t="s">
        <v>157</v>
      </c>
      <c r="F263" s="24" t="s">
        <v>66</v>
      </c>
      <c r="G263" s="25">
        <v>4.5</v>
      </c>
      <c r="H263" s="25"/>
      <c r="I263" s="25"/>
    </row>
    <row r="264" spans="1:17" s="26" customFormat="1" ht="25.5" x14ac:dyDescent="0.2">
      <c r="A264" s="28" t="s">
        <v>119</v>
      </c>
      <c r="B264" s="31">
        <v>911</v>
      </c>
      <c r="C264" s="24" t="s">
        <v>18</v>
      </c>
      <c r="D264" s="24" t="s">
        <v>25</v>
      </c>
      <c r="E264" s="24" t="s">
        <v>157</v>
      </c>
      <c r="F264" s="24" t="s">
        <v>63</v>
      </c>
      <c r="G264" s="25">
        <v>318.8</v>
      </c>
      <c r="H264" s="25">
        <v>59.4</v>
      </c>
      <c r="I264" s="25">
        <v>59.4</v>
      </c>
    </row>
    <row r="265" spans="1:17" ht="51" x14ac:dyDescent="0.2">
      <c r="A265" s="18" t="s">
        <v>283</v>
      </c>
      <c r="B265" s="22">
        <v>911</v>
      </c>
      <c r="C265" s="19" t="s">
        <v>18</v>
      </c>
      <c r="D265" s="19" t="s">
        <v>25</v>
      </c>
      <c r="E265" s="19" t="s">
        <v>207</v>
      </c>
      <c r="F265" s="19"/>
      <c r="G265" s="20">
        <f>G266+G267</f>
        <v>783.30000000000007</v>
      </c>
      <c r="H265" s="20">
        <f>H266+H267</f>
        <v>0</v>
      </c>
      <c r="I265" s="20">
        <f>I266+I267</f>
        <v>0</v>
      </c>
      <c r="J265" s="194"/>
      <c r="K265" s="194"/>
      <c r="L265" s="194"/>
      <c r="M265" s="194"/>
      <c r="N265" s="194"/>
      <c r="O265" s="194"/>
      <c r="P265" s="194"/>
      <c r="Q265" s="194"/>
    </row>
    <row r="266" spans="1:17" s="26" customFormat="1" ht="49.5" customHeight="1" x14ac:dyDescent="0.2">
      <c r="A266" s="30" t="s">
        <v>64</v>
      </c>
      <c r="B266" s="32">
        <v>911</v>
      </c>
      <c r="C266" s="24" t="s">
        <v>18</v>
      </c>
      <c r="D266" s="24" t="s">
        <v>25</v>
      </c>
      <c r="E266" s="24" t="s">
        <v>207</v>
      </c>
      <c r="F266" s="27" t="s">
        <v>65</v>
      </c>
      <c r="G266" s="25">
        <v>43.1</v>
      </c>
      <c r="H266" s="25"/>
      <c r="I266" s="25"/>
    </row>
    <row r="267" spans="1:17" s="26" customFormat="1" ht="25.5" x14ac:dyDescent="0.2">
      <c r="A267" s="28" t="s">
        <v>119</v>
      </c>
      <c r="B267" s="31">
        <v>911</v>
      </c>
      <c r="C267" s="24" t="s">
        <v>18</v>
      </c>
      <c r="D267" s="24" t="s">
        <v>25</v>
      </c>
      <c r="E267" s="24" t="s">
        <v>207</v>
      </c>
      <c r="F267" s="24" t="s">
        <v>63</v>
      </c>
      <c r="G267" s="25">
        <v>740.2</v>
      </c>
      <c r="H267" s="25"/>
      <c r="I267" s="25"/>
    </row>
    <row r="268" spans="1:17" ht="25.5" x14ac:dyDescent="0.2">
      <c r="A268" s="18" t="s">
        <v>209</v>
      </c>
      <c r="B268" s="22">
        <v>911</v>
      </c>
      <c r="C268" s="19" t="s">
        <v>18</v>
      </c>
      <c r="D268" s="19" t="s">
        <v>25</v>
      </c>
      <c r="E268" s="19" t="s">
        <v>208</v>
      </c>
      <c r="F268" s="19"/>
      <c r="G268" s="20">
        <f>G271+G270+G269</f>
        <v>567.70000000000005</v>
      </c>
      <c r="H268" s="20">
        <f t="shared" ref="H268:I268" si="61">H271+H270+H269</f>
        <v>516.1</v>
      </c>
      <c r="I268" s="20">
        <f t="shared" si="61"/>
        <v>516.1</v>
      </c>
      <c r="J268" s="194"/>
      <c r="K268" s="194"/>
      <c r="L268" s="194"/>
      <c r="M268" s="194"/>
      <c r="N268" s="194"/>
      <c r="O268" s="194"/>
      <c r="P268" s="194"/>
      <c r="Q268" s="194"/>
    </row>
    <row r="269" spans="1:17" s="26" customFormat="1" ht="49.5" customHeight="1" x14ac:dyDescent="0.2">
      <c r="A269" s="23" t="s">
        <v>64</v>
      </c>
      <c r="B269" s="31">
        <v>911</v>
      </c>
      <c r="C269" s="24" t="s">
        <v>18</v>
      </c>
      <c r="D269" s="24" t="s">
        <v>25</v>
      </c>
      <c r="E269" s="24" t="s">
        <v>208</v>
      </c>
      <c r="F269" s="24" t="s">
        <v>65</v>
      </c>
      <c r="G269" s="25">
        <v>20.6</v>
      </c>
      <c r="H269" s="25">
        <v>20.6</v>
      </c>
      <c r="I269" s="25">
        <v>20.6</v>
      </c>
    </row>
    <row r="270" spans="1:17" s="26" customFormat="1" ht="25.5" x14ac:dyDescent="0.2">
      <c r="A270" s="28" t="s">
        <v>74</v>
      </c>
      <c r="B270" s="31">
        <v>911</v>
      </c>
      <c r="C270" s="24" t="s">
        <v>18</v>
      </c>
      <c r="D270" s="24" t="s">
        <v>25</v>
      </c>
      <c r="E270" s="24" t="s">
        <v>208</v>
      </c>
      <c r="F270" s="24" t="s">
        <v>66</v>
      </c>
      <c r="G270" s="25">
        <v>51.6</v>
      </c>
      <c r="H270" s="25"/>
      <c r="I270" s="25"/>
    </row>
    <row r="271" spans="1:17" s="26" customFormat="1" ht="25.5" x14ac:dyDescent="0.2">
      <c r="A271" s="28" t="s">
        <v>119</v>
      </c>
      <c r="B271" s="31">
        <v>911</v>
      </c>
      <c r="C271" s="24" t="s">
        <v>18</v>
      </c>
      <c r="D271" s="24" t="s">
        <v>25</v>
      </c>
      <c r="E271" s="24" t="s">
        <v>208</v>
      </c>
      <c r="F271" s="24" t="s">
        <v>63</v>
      </c>
      <c r="G271" s="25">
        <v>495.5</v>
      </c>
      <c r="H271" s="25">
        <v>495.5</v>
      </c>
      <c r="I271" s="25">
        <v>495.5</v>
      </c>
    </row>
    <row r="272" spans="1:17" s="21" customFormat="1" ht="114.75" x14ac:dyDescent="0.2">
      <c r="A272" s="18" t="s">
        <v>336</v>
      </c>
      <c r="B272" s="22">
        <v>911</v>
      </c>
      <c r="C272" s="5" t="s">
        <v>18</v>
      </c>
      <c r="D272" s="5" t="s">
        <v>25</v>
      </c>
      <c r="E272" s="5" t="s">
        <v>103</v>
      </c>
      <c r="F272" s="19"/>
      <c r="G272" s="20">
        <f>G273+G274</f>
        <v>3245.9</v>
      </c>
      <c r="H272" s="20">
        <f>H273+H274</f>
        <v>3245.9</v>
      </c>
      <c r="I272" s="20">
        <f>I273+I274</f>
        <v>3245.9</v>
      </c>
    </row>
    <row r="273" spans="1:17" s="26" customFormat="1" ht="51" customHeight="1" x14ac:dyDescent="0.2">
      <c r="A273" s="23" t="s">
        <v>64</v>
      </c>
      <c r="B273" s="31">
        <v>911</v>
      </c>
      <c r="C273" s="24" t="s">
        <v>18</v>
      </c>
      <c r="D273" s="24" t="s">
        <v>25</v>
      </c>
      <c r="E273" s="24" t="s">
        <v>103</v>
      </c>
      <c r="F273" s="27" t="s">
        <v>65</v>
      </c>
      <c r="G273" s="25">
        <v>2869.4</v>
      </c>
      <c r="H273" s="25">
        <v>2869.4</v>
      </c>
      <c r="I273" s="25">
        <v>2869.4</v>
      </c>
    </row>
    <row r="274" spans="1:17" s="26" customFormat="1" ht="25.5" x14ac:dyDescent="0.2">
      <c r="A274" s="28" t="s">
        <v>74</v>
      </c>
      <c r="B274" s="50">
        <v>911</v>
      </c>
      <c r="C274" s="24" t="s">
        <v>18</v>
      </c>
      <c r="D274" s="24" t="s">
        <v>25</v>
      </c>
      <c r="E274" s="24" t="s">
        <v>103</v>
      </c>
      <c r="F274" s="27" t="s">
        <v>66</v>
      </c>
      <c r="G274" s="25">
        <v>376.5</v>
      </c>
      <c r="H274" s="25">
        <v>376.5</v>
      </c>
      <c r="I274" s="25">
        <v>376.5</v>
      </c>
    </row>
    <row r="275" spans="1:17" ht="25.5" x14ac:dyDescent="0.2">
      <c r="A275" s="18" t="s">
        <v>285</v>
      </c>
      <c r="B275" s="22">
        <v>911</v>
      </c>
      <c r="C275" s="19" t="s">
        <v>18</v>
      </c>
      <c r="D275" s="19" t="s">
        <v>25</v>
      </c>
      <c r="E275" s="19" t="s">
        <v>210</v>
      </c>
      <c r="F275" s="19"/>
      <c r="G275" s="20">
        <f>G276+G277</f>
        <v>4467.2</v>
      </c>
      <c r="H275" s="20">
        <f>H276+H277</f>
        <v>4407.2</v>
      </c>
      <c r="I275" s="20">
        <f>I276+I277</f>
        <v>4407.2</v>
      </c>
      <c r="J275" s="100"/>
      <c r="K275" s="100"/>
      <c r="L275" s="100"/>
      <c r="M275" s="100"/>
      <c r="N275" s="100"/>
      <c r="O275" s="100"/>
      <c r="P275" s="100"/>
      <c r="Q275" s="100"/>
    </row>
    <row r="276" spans="1:17" s="26" customFormat="1" ht="51" customHeight="1" x14ac:dyDescent="0.2">
      <c r="A276" s="23" t="s">
        <v>64</v>
      </c>
      <c r="B276" s="31">
        <v>911</v>
      </c>
      <c r="C276" s="24" t="s">
        <v>18</v>
      </c>
      <c r="D276" s="24" t="s">
        <v>25</v>
      </c>
      <c r="E276" s="24" t="s">
        <v>210</v>
      </c>
      <c r="F276" s="27" t="s">
        <v>65</v>
      </c>
      <c r="G276" s="25">
        <v>4427.2</v>
      </c>
      <c r="H276" s="25">
        <v>4407.2</v>
      </c>
      <c r="I276" s="25">
        <v>4407.2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s="26" customFormat="1" ht="25.5" x14ac:dyDescent="0.2">
      <c r="A277" s="28" t="s">
        <v>74</v>
      </c>
      <c r="B277" s="31">
        <v>911</v>
      </c>
      <c r="C277" s="24" t="s">
        <v>18</v>
      </c>
      <c r="D277" s="24" t="s">
        <v>25</v>
      </c>
      <c r="E277" s="24" t="s">
        <v>210</v>
      </c>
      <c r="F277" s="27" t="s">
        <v>66</v>
      </c>
      <c r="G277" s="25">
        <v>40</v>
      </c>
      <c r="H277" s="25"/>
      <c r="I277" s="25"/>
      <c r="J277" s="101"/>
      <c r="K277" s="101"/>
      <c r="L277" s="101"/>
      <c r="M277" s="101"/>
      <c r="N277" s="101"/>
      <c r="O277" s="101"/>
      <c r="P277" s="101"/>
      <c r="Q277" s="101"/>
    </row>
    <row r="278" spans="1:17" ht="25.5" x14ac:dyDescent="0.2">
      <c r="A278" s="18" t="s">
        <v>285</v>
      </c>
      <c r="B278" s="22">
        <v>911</v>
      </c>
      <c r="C278" s="19" t="s">
        <v>18</v>
      </c>
      <c r="D278" s="19" t="s">
        <v>25</v>
      </c>
      <c r="E278" s="19" t="s">
        <v>211</v>
      </c>
      <c r="F278" s="19"/>
      <c r="G278" s="20">
        <f>G279</f>
        <v>22764.400000000001</v>
      </c>
      <c r="H278" s="20">
        <f>H279</f>
        <v>21478.7</v>
      </c>
      <c r="I278" s="20">
        <f>I279</f>
        <v>21108.5</v>
      </c>
      <c r="J278" s="194"/>
      <c r="K278" s="194"/>
      <c r="L278" s="194"/>
      <c r="M278" s="194"/>
      <c r="N278" s="194"/>
      <c r="O278" s="194"/>
      <c r="P278" s="194"/>
      <c r="Q278" s="194"/>
    </row>
    <row r="279" spans="1:17" s="26" customFormat="1" ht="25.5" x14ac:dyDescent="0.2">
      <c r="A279" s="28" t="s">
        <v>119</v>
      </c>
      <c r="B279" s="31">
        <v>911</v>
      </c>
      <c r="C279" s="24" t="s">
        <v>18</v>
      </c>
      <c r="D279" s="24" t="s">
        <v>25</v>
      </c>
      <c r="E279" s="24" t="s">
        <v>211</v>
      </c>
      <c r="F279" s="24" t="s">
        <v>63</v>
      </c>
      <c r="G279" s="25">
        <v>22764.400000000001</v>
      </c>
      <c r="H279" s="25">
        <v>21478.7</v>
      </c>
      <c r="I279" s="25">
        <v>21108.5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25.5" x14ac:dyDescent="0.2">
      <c r="A280" s="18" t="s">
        <v>285</v>
      </c>
      <c r="B280" s="22">
        <v>911</v>
      </c>
      <c r="C280" s="19" t="s">
        <v>18</v>
      </c>
      <c r="D280" s="19" t="s">
        <v>25</v>
      </c>
      <c r="E280" s="19" t="s">
        <v>212</v>
      </c>
      <c r="F280" s="19"/>
      <c r="G280" s="20">
        <f>G281+G282+G283+G284</f>
        <v>46355.700000000004</v>
      </c>
      <c r="H280" s="20">
        <f>H281+H282+H283+H284</f>
        <v>42601.9</v>
      </c>
      <c r="I280" s="20">
        <f>I281+I282+I283+I284</f>
        <v>41419.5</v>
      </c>
      <c r="J280" s="194"/>
      <c r="K280" s="194"/>
      <c r="L280" s="194"/>
      <c r="M280" s="194"/>
      <c r="N280" s="194"/>
      <c r="O280" s="194"/>
      <c r="P280" s="194"/>
      <c r="Q280" s="194"/>
    </row>
    <row r="281" spans="1:17" s="26" customFormat="1" ht="51.75" customHeight="1" x14ac:dyDescent="0.2">
      <c r="A281" s="30" t="s">
        <v>64</v>
      </c>
      <c r="B281" s="32">
        <v>911</v>
      </c>
      <c r="C281" s="24" t="s">
        <v>18</v>
      </c>
      <c r="D281" s="24" t="s">
        <v>25</v>
      </c>
      <c r="E281" s="24" t="s">
        <v>212</v>
      </c>
      <c r="F281" s="27" t="s">
        <v>65</v>
      </c>
      <c r="G281" s="25">
        <v>22345.200000000001</v>
      </c>
      <c r="H281" s="25">
        <v>22342.1</v>
      </c>
      <c r="I281" s="25">
        <v>22342.1</v>
      </c>
    </row>
    <row r="282" spans="1:17" s="26" customFormat="1" ht="25.5" x14ac:dyDescent="0.2">
      <c r="A282" s="28" t="s">
        <v>74</v>
      </c>
      <c r="B282" s="32">
        <v>911</v>
      </c>
      <c r="C282" s="24" t="s">
        <v>18</v>
      </c>
      <c r="D282" s="24" t="s">
        <v>25</v>
      </c>
      <c r="E282" s="24" t="s">
        <v>212</v>
      </c>
      <c r="F282" s="27" t="s">
        <v>66</v>
      </c>
      <c r="G282" s="25">
        <v>4455.2</v>
      </c>
      <c r="H282" s="25">
        <v>2052.9</v>
      </c>
      <c r="I282" s="25">
        <v>1199.5999999999999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s="26" customFormat="1" ht="25.5" x14ac:dyDescent="0.2">
      <c r="A283" s="28" t="s">
        <v>119</v>
      </c>
      <c r="B283" s="31">
        <v>911</v>
      </c>
      <c r="C283" s="24" t="s">
        <v>18</v>
      </c>
      <c r="D283" s="24" t="s">
        <v>25</v>
      </c>
      <c r="E283" s="24" t="s">
        <v>212</v>
      </c>
      <c r="F283" s="24" t="s">
        <v>63</v>
      </c>
      <c r="G283" s="25">
        <v>19500.5</v>
      </c>
      <c r="H283" s="25">
        <v>18206.900000000001</v>
      </c>
      <c r="I283" s="25">
        <v>17877.8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s="26" customFormat="1" x14ac:dyDescent="0.2">
      <c r="A284" s="28" t="s">
        <v>70</v>
      </c>
      <c r="B284" s="31">
        <v>911</v>
      </c>
      <c r="C284" s="24" t="s">
        <v>18</v>
      </c>
      <c r="D284" s="24" t="s">
        <v>25</v>
      </c>
      <c r="E284" s="24" t="s">
        <v>212</v>
      </c>
      <c r="F284" s="24" t="s">
        <v>71</v>
      </c>
      <c r="G284" s="25">
        <v>54.8</v>
      </c>
      <c r="H284" s="25"/>
      <c r="I284" s="25"/>
      <c r="J284" s="101"/>
      <c r="K284" s="101"/>
      <c r="L284" s="101"/>
      <c r="M284" s="101"/>
      <c r="N284" s="101"/>
      <c r="O284" s="101"/>
      <c r="P284" s="101"/>
      <c r="Q284" s="101"/>
    </row>
    <row r="285" spans="1:17" s="88" customFormat="1" x14ac:dyDescent="0.2">
      <c r="A285" s="87" t="s">
        <v>50</v>
      </c>
      <c r="B285" s="56">
        <v>911</v>
      </c>
      <c r="C285" s="57" t="s">
        <v>49</v>
      </c>
      <c r="D285" s="57"/>
      <c r="E285" s="57"/>
      <c r="F285" s="57"/>
      <c r="G285" s="60">
        <f>G286+G301</f>
        <v>59039</v>
      </c>
      <c r="H285" s="60">
        <f t="shared" ref="H285:I285" si="62">H286+H301</f>
        <v>59144</v>
      </c>
      <c r="I285" s="60">
        <f t="shared" si="62"/>
        <v>59163.9</v>
      </c>
      <c r="J285" s="60" t="e">
        <f>J286+J301+#REF!</f>
        <v>#REF!</v>
      </c>
      <c r="K285" s="60" t="e">
        <f>K286+K301+#REF!</f>
        <v>#REF!</v>
      </c>
      <c r="L285" s="60" t="e">
        <f>L286+L301+#REF!</f>
        <v>#REF!</v>
      </c>
      <c r="M285" s="60" t="e">
        <f>M286+M301+#REF!</f>
        <v>#REF!</v>
      </c>
      <c r="N285" s="60" t="e">
        <f>N286+N301+#REF!</f>
        <v>#REF!</v>
      </c>
      <c r="O285" s="60" t="e">
        <f>O286+O301+#REF!</f>
        <v>#REF!</v>
      </c>
      <c r="P285" s="60" t="e">
        <f>P286+P301+#REF!</f>
        <v>#REF!</v>
      </c>
      <c r="Q285" s="60" t="e">
        <f>Q286+Q301+#REF!</f>
        <v>#REF!</v>
      </c>
    </row>
    <row r="286" spans="1:17" s="66" customFormat="1" x14ac:dyDescent="0.2">
      <c r="A286" s="62" t="s">
        <v>53</v>
      </c>
      <c r="B286" s="63">
        <v>911</v>
      </c>
      <c r="C286" s="64" t="s">
        <v>49</v>
      </c>
      <c r="D286" s="64" t="s">
        <v>15</v>
      </c>
      <c r="E286" s="64"/>
      <c r="F286" s="64"/>
      <c r="G286" s="65">
        <f>G287+G292+G290+G297+G299+G294</f>
        <v>11336.5</v>
      </c>
      <c r="H286" s="65">
        <f t="shared" ref="H286:I286" si="63">H287+H292+H290+H297+H299+H294</f>
        <v>11336.5</v>
      </c>
      <c r="I286" s="65">
        <f t="shared" si="63"/>
        <v>11336.4</v>
      </c>
    </row>
    <row r="287" spans="1:17" s="21" customFormat="1" ht="24.75" customHeight="1" x14ac:dyDescent="0.2">
      <c r="A287" s="18" t="s">
        <v>296</v>
      </c>
      <c r="B287" s="22">
        <v>911</v>
      </c>
      <c r="C287" s="19" t="s">
        <v>49</v>
      </c>
      <c r="D287" s="19" t="s">
        <v>15</v>
      </c>
      <c r="E287" s="19" t="s">
        <v>82</v>
      </c>
      <c r="F287" s="19"/>
      <c r="G287" s="20">
        <f>G289+G288</f>
        <v>1368</v>
      </c>
      <c r="H287" s="20">
        <f>H289+H288</f>
        <v>1368</v>
      </c>
      <c r="I287" s="20">
        <f>I289+I288</f>
        <v>1368</v>
      </c>
    </row>
    <row r="288" spans="1:17" s="21" customFormat="1" x14ac:dyDescent="0.2">
      <c r="A288" s="51" t="s">
        <v>67</v>
      </c>
      <c r="B288" s="23">
        <v>911</v>
      </c>
      <c r="C288" s="24" t="s">
        <v>49</v>
      </c>
      <c r="D288" s="24" t="s">
        <v>15</v>
      </c>
      <c r="E288" s="24" t="s">
        <v>82</v>
      </c>
      <c r="F288" s="27" t="s">
        <v>68</v>
      </c>
      <c r="G288" s="25">
        <v>26.7</v>
      </c>
      <c r="H288" s="25">
        <v>26.7</v>
      </c>
      <c r="I288" s="25">
        <v>26.7</v>
      </c>
    </row>
    <row r="289" spans="1:17" s="26" customFormat="1" ht="25.5" x14ac:dyDescent="0.2">
      <c r="A289" s="28" t="s">
        <v>119</v>
      </c>
      <c r="B289" s="31">
        <v>911</v>
      </c>
      <c r="C289" s="24" t="s">
        <v>49</v>
      </c>
      <c r="D289" s="24" t="s">
        <v>15</v>
      </c>
      <c r="E289" s="24" t="s">
        <v>82</v>
      </c>
      <c r="F289" s="24" t="s">
        <v>63</v>
      </c>
      <c r="G289" s="25">
        <f>1271.3+70</f>
        <v>1341.3</v>
      </c>
      <c r="H289" s="25">
        <f>1271.3+70</f>
        <v>1341.3</v>
      </c>
      <c r="I289" s="25">
        <f>1271.3+70</f>
        <v>1341.3</v>
      </c>
    </row>
    <row r="290" spans="1:17" s="21" customFormat="1" ht="51" x14ac:dyDescent="0.2">
      <c r="A290" s="18" t="s">
        <v>213</v>
      </c>
      <c r="B290" s="22">
        <v>911</v>
      </c>
      <c r="C290" s="19" t="s">
        <v>49</v>
      </c>
      <c r="D290" s="19" t="s">
        <v>15</v>
      </c>
      <c r="E290" s="19" t="s">
        <v>106</v>
      </c>
      <c r="F290" s="19"/>
      <c r="G290" s="20">
        <f>G291</f>
        <v>207</v>
      </c>
      <c r="H290" s="20">
        <f>H291</f>
        <v>207</v>
      </c>
      <c r="I290" s="20">
        <f>I291</f>
        <v>207</v>
      </c>
    </row>
    <row r="291" spans="1:17" s="26" customFormat="1" x14ac:dyDescent="0.2">
      <c r="A291" s="51" t="s">
        <v>67</v>
      </c>
      <c r="B291" s="31">
        <v>911</v>
      </c>
      <c r="C291" s="24" t="s">
        <v>49</v>
      </c>
      <c r="D291" s="24" t="s">
        <v>15</v>
      </c>
      <c r="E291" s="24" t="s">
        <v>106</v>
      </c>
      <c r="F291" s="29">
        <v>300</v>
      </c>
      <c r="G291" s="25">
        <v>207</v>
      </c>
      <c r="H291" s="25">
        <v>207</v>
      </c>
      <c r="I291" s="25">
        <v>207</v>
      </c>
    </row>
    <row r="292" spans="1:17" s="21" customFormat="1" ht="38.25" x14ac:dyDescent="0.2">
      <c r="A292" s="46" t="s">
        <v>214</v>
      </c>
      <c r="B292" s="22">
        <v>911</v>
      </c>
      <c r="C292" s="19" t="s">
        <v>49</v>
      </c>
      <c r="D292" s="19" t="s">
        <v>15</v>
      </c>
      <c r="E292" s="19" t="s">
        <v>105</v>
      </c>
      <c r="F292" s="19"/>
      <c r="G292" s="20">
        <f>G293</f>
        <v>570</v>
      </c>
      <c r="H292" s="20">
        <f>H293</f>
        <v>570</v>
      </c>
      <c r="I292" s="20">
        <f>I293</f>
        <v>570</v>
      </c>
    </row>
    <row r="293" spans="1:17" s="26" customFormat="1" x14ac:dyDescent="0.2">
      <c r="A293" s="51" t="s">
        <v>67</v>
      </c>
      <c r="B293" s="31">
        <v>911</v>
      </c>
      <c r="C293" s="24" t="s">
        <v>49</v>
      </c>
      <c r="D293" s="24" t="s">
        <v>15</v>
      </c>
      <c r="E293" s="24" t="s">
        <v>105</v>
      </c>
      <c r="F293" s="24" t="s">
        <v>68</v>
      </c>
      <c r="G293" s="25">
        <v>570</v>
      </c>
      <c r="H293" s="25">
        <v>570</v>
      </c>
      <c r="I293" s="25">
        <v>570</v>
      </c>
    </row>
    <row r="294" spans="1:17" ht="25.5" x14ac:dyDescent="0.2">
      <c r="A294" s="46" t="s">
        <v>215</v>
      </c>
      <c r="B294" s="222" t="s">
        <v>111</v>
      </c>
      <c r="C294" s="19" t="s">
        <v>49</v>
      </c>
      <c r="D294" s="19" t="s">
        <v>15</v>
      </c>
      <c r="E294" s="19" t="s">
        <v>112</v>
      </c>
      <c r="F294" s="19"/>
      <c r="G294" s="20">
        <f>G296+G295</f>
        <v>2005</v>
      </c>
      <c r="H294" s="20">
        <f>H296+H295</f>
        <v>2005</v>
      </c>
      <c r="I294" s="20">
        <f>I296+I295</f>
        <v>2005</v>
      </c>
      <c r="J294" s="100"/>
      <c r="K294" s="100"/>
      <c r="L294" s="100"/>
      <c r="M294" s="100"/>
      <c r="N294" s="100"/>
      <c r="O294" s="100"/>
      <c r="P294" s="100"/>
      <c r="Q294" s="100"/>
    </row>
    <row r="295" spans="1:17" ht="25.5" x14ac:dyDescent="0.2">
      <c r="A295" s="28" t="s">
        <v>74</v>
      </c>
      <c r="B295" s="23">
        <v>911</v>
      </c>
      <c r="C295" s="24" t="s">
        <v>49</v>
      </c>
      <c r="D295" s="24" t="s">
        <v>15</v>
      </c>
      <c r="E295" s="24" t="s">
        <v>112</v>
      </c>
      <c r="F295" s="27" t="s">
        <v>66</v>
      </c>
      <c r="G295" s="25">
        <v>325</v>
      </c>
      <c r="H295" s="25">
        <v>325</v>
      </c>
      <c r="I295" s="25">
        <v>325</v>
      </c>
      <c r="J295" s="100"/>
      <c r="K295" s="100"/>
      <c r="L295" s="100"/>
      <c r="M295" s="100"/>
      <c r="N295" s="100"/>
      <c r="O295" s="100"/>
      <c r="P295" s="100"/>
      <c r="Q295" s="100"/>
    </row>
    <row r="296" spans="1:17" ht="25.5" x14ac:dyDescent="0.2">
      <c r="A296" s="28" t="s">
        <v>119</v>
      </c>
      <c r="B296" s="28">
        <v>911</v>
      </c>
      <c r="C296" s="24" t="s">
        <v>49</v>
      </c>
      <c r="D296" s="24" t="s">
        <v>15</v>
      </c>
      <c r="E296" s="24" t="s">
        <v>112</v>
      </c>
      <c r="F296" s="24" t="s">
        <v>63</v>
      </c>
      <c r="G296" s="25">
        <f>1576+104</f>
        <v>1680</v>
      </c>
      <c r="H296" s="25">
        <f>1576+104</f>
        <v>1680</v>
      </c>
      <c r="I296" s="25">
        <f>1576+104</f>
        <v>1680</v>
      </c>
      <c r="J296" s="100"/>
      <c r="K296" s="100"/>
      <c r="L296" s="100"/>
      <c r="M296" s="100"/>
      <c r="N296" s="100"/>
      <c r="O296" s="100"/>
      <c r="P296" s="100"/>
      <c r="Q296" s="100"/>
    </row>
    <row r="297" spans="1:17" ht="78" customHeight="1" x14ac:dyDescent="0.2">
      <c r="A297" s="18" t="s">
        <v>348</v>
      </c>
      <c r="B297" s="22">
        <v>911</v>
      </c>
      <c r="C297" s="19" t="s">
        <v>49</v>
      </c>
      <c r="D297" s="19" t="s">
        <v>15</v>
      </c>
      <c r="E297" s="19" t="s">
        <v>107</v>
      </c>
      <c r="F297" s="19"/>
      <c r="G297" s="20">
        <f>G298</f>
        <v>326</v>
      </c>
      <c r="H297" s="20">
        <f>H298</f>
        <v>326</v>
      </c>
      <c r="I297" s="20">
        <f>I298</f>
        <v>325.89999999999998</v>
      </c>
      <c r="J297" s="100"/>
      <c r="K297" s="100"/>
      <c r="L297" s="100"/>
      <c r="M297" s="100"/>
      <c r="N297" s="100"/>
      <c r="O297" s="100"/>
      <c r="P297" s="100"/>
      <c r="Q297" s="100"/>
    </row>
    <row r="298" spans="1:17" s="26" customFormat="1" x14ac:dyDescent="0.2">
      <c r="A298" s="28" t="s">
        <v>67</v>
      </c>
      <c r="B298" s="31">
        <v>911</v>
      </c>
      <c r="C298" s="24" t="s">
        <v>49</v>
      </c>
      <c r="D298" s="24" t="s">
        <v>15</v>
      </c>
      <c r="E298" s="24" t="s">
        <v>107</v>
      </c>
      <c r="F298" s="24" t="s">
        <v>68</v>
      </c>
      <c r="G298" s="25">
        <v>326</v>
      </c>
      <c r="H298" s="25">
        <v>326</v>
      </c>
      <c r="I298" s="25">
        <v>325.89999999999998</v>
      </c>
      <c r="J298" s="101"/>
      <c r="K298" s="101"/>
      <c r="L298" s="101"/>
      <c r="M298" s="101"/>
      <c r="N298" s="101"/>
      <c r="O298" s="101"/>
      <c r="P298" s="101"/>
      <c r="Q298" s="101"/>
    </row>
    <row r="299" spans="1:17" s="21" customFormat="1" ht="51" x14ac:dyDescent="0.2">
      <c r="A299" s="18" t="s">
        <v>216</v>
      </c>
      <c r="B299" s="22">
        <v>911</v>
      </c>
      <c r="C299" s="19" t="s">
        <v>49</v>
      </c>
      <c r="D299" s="19" t="s">
        <v>15</v>
      </c>
      <c r="E299" s="19" t="s">
        <v>574</v>
      </c>
      <c r="F299" s="19"/>
      <c r="G299" s="20">
        <f>G300</f>
        <v>6860.5</v>
      </c>
      <c r="H299" s="20">
        <f>H300</f>
        <v>6860.5</v>
      </c>
      <c r="I299" s="20">
        <f>I300</f>
        <v>6860.5</v>
      </c>
    </row>
    <row r="300" spans="1:17" s="26" customFormat="1" ht="25.5" x14ac:dyDescent="0.2">
      <c r="A300" s="28" t="s">
        <v>119</v>
      </c>
      <c r="B300" s="31">
        <v>911</v>
      </c>
      <c r="C300" s="24" t="s">
        <v>49</v>
      </c>
      <c r="D300" s="24" t="s">
        <v>15</v>
      </c>
      <c r="E300" s="24" t="s">
        <v>574</v>
      </c>
      <c r="F300" s="24" t="s">
        <v>63</v>
      </c>
      <c r="G300" s="25">
        <v>6860.5</v>
      </c>
      <c r="H300" s="25">
        <v>6860.5</v>
      </c>
      <c r="I300" s="25">
        <v>6860.5</v>
      </c>
    </row>
    <row r="301" spans="1:17" s="66" customFormat="1" x14ac:dyDescent="0.2">
      <c r="A301" s="62" t="s">
        <v>54</v>
      </c>
      <c r="B301" s="63">
        <v>911</v>
      </c>
      <c r="C301" s="64" t="s">
        <v>49</v>
      </c>
      <c r="D301" s="64" t="s">
        <v>17</v>
      </c>
      <c r="E301" s="64"/>
      <c r="F301" s="64"/>
      <c r="G301" s="65">
        <f>G302+G304+G310+G314+G316+G308+G312</f>
        <v>47702.5</v>
      </c>
      <c r="H301" s="65">
        <f t="shared" ref="H301:I301" si="64">H302+H304+H310+H314+H316+H308+H312</f>
        <v>47807.5</v>
      </c>
      <c r="I301" s="65">
        <f t="shared" si="64"/>
        <v>47827.5</v>
      </c>
    </row>
    <row r="302" spans="1:17" s="21" customFormat="1" ht="38.25" x14ac:dyDescent="0.2">
      <c r="A302" s="18" t="s">
        <v>217</v>
      </c>
      <c r="B302" s="22">
        <v>911</v>
      </c>
      <c r="C302" s="19" t="s">
        <v>49</v>
      </c>
      <c r="D302" s="19" t="s">
        <v>17</v>
      </c>
      <c r="E302" s="19" t="s">
        <v>110</v>
      </c>
      <c r="F302" s="19"/>
      <c r="G302" s="20">
        <f>G303</f>
        <v>1200</v>
      </c>
      <c r="H302" s="20">
        <f>H303</f>
        <v>1310</v>
      </c>
      <c r="I302" s="20">
        <f>I303</f>
        <v>1330</v>
      </c>
    </row>
    <row r="303" spans="1:17" s="26" customFormat="1" x14ac:dyDescent="0.2">
      <c r="A303" s="28" t="s">
        <v>67</v>
      </c>
      <c r="B303" s="31">
        <v>911</v>
      </c>
      <c r="C303" s="24" t="s">
        <v>49</v>
      </c>
      <c r="D303" s="24" t="s">
        <v>17</v>
      </c>
      <c r="E303" s="24" t="s">
        <v>110</v>
      </c>
      <c r="F303" s="24" t="s">
        <v>68</v>
      </c>
      <c r="G303" s="25">
        <v>1200</v>
      </c>
      <c r="H303" s="25">
        <v>1310</v>
      </c>
      <c r="I303" s="25">
        <v>1330</v>
      </c>
    </row>
    <row r="304" spans="1:17" ht="38.25" customHeight="1" x14ac:dyDescent="0.2">
      <c r="A304" s="18" t="s">
        <v>218</v>
      </c>
      <c r="B304" s="22">
        <v>911</v>
      </c>
      <c r="C304" s="19" t="s">
        <v>49</v>
      </c>
      <c r="D304" s="19" t="s">
        <v>17</v>
      </c>
      <c r="E304" s="19" t="s">
        <v>108</v>
      </c>
      <c r="F304" s="19"/>
      <c r="G304" s="20">
        <f>G306+G307+G305</f>
        <v>2260.1000000000004</v>
      </c>
      <c r="H304" s="20">
        <f>H306+H307+H305</f>
        <v>2260.1000000000004</v>
      </c>
      <c r="I304" s="20">
        <f>I306+I307+I305</f>
        <v>2260.1000000000004</v>
      </c>
      <c r="J304" s="100"/>
      <c r="K304" s="100"/>
      <c r="L304" s="100"/>
      <c r="M304" s="100"/>
      <c r="N304" s="100"/>
      <c r="O304" s="100"/>
      <c r="P304" s="100"/>
      <c r="Q304" s="100"/>
    </row>
    <row r="305" spans="1:24" s="26" customFormat="1" ht="25.5" x14ac:dyDescent="0.2">
      <c r="A305" s="28" t="s">
        <v>74</v>
      </c>
      <c r="B305" s="32">
        <v>911</v>
      </c>
      <c r="C305" s="24" t="s">
        <v>49</v>
      </c>
      <c r="D305" s="24" t="s">
        <v>17</v>
      </c>
      <c r="E305" s="24" t="s">
        <v>108</v>
      </c>
      <c r="F305" s="27" t="s">
        <v>66</v>
      </c>
      <c r="G305" s="25">
        <v>1.8</v>
      </c>
      <c r="H305" s="25">
        <v>1.8</v>
      </c>
      <c r="I305" s="25">
        <v>1.8</v>
      </c>
      <c r="J305" s="101"/>
      <c r="K305" s="101"/>
      <c r="L305" s="101"/>
      <c r="M305" s="101"/>
      <c r="N305" s="101"/>
      <c r="O305" s="101"/>
      <c r="P305" s="101"/>
      <c r="Q305" s="101"/>
    </row>
    <row r="306" spans="1:24" s="26" customFormat="1" x14ac:dyDescent="0.2">
      <c r="A306" s="51" t="s">
        <v>67</v>
      </c>
      <c r="B306" s="31">
        <v>911</v>
      </c>
      <c r="C306" s="24" t="s">
        <v>49</v>
      </c>
      <c r="D306" s="24" t="s">
        <v>17</v>
      </c>
      <c r="E306" s="24" t="s">
        <v>108</v>
      </c>
      <c r="F306" s="29">
        <v>300</v>
      </c>
      <c r="G306" s="25">
        <v>360</v>
      </c>
      <c r="H306" s="25">
        <v>360</v>
      </c>
      <c r="I306" s="25">
        <v>360</v>
      </c>
      <c r="J306" s="101"/>
      <c r="K306" s="101"/>
      <c r="L306" s="101"/>
      <c r="M306" s="101"/>
      <c r="N306" s="101"/>
      <c r="O306" s="101"/>
      <c r="P306" s="101"/>
      <c r="Q306" s="101"/>
    </row>
    <row r="307" spans="1:24" s="26" customFormat="1" ht="25.5" x14ac:dyDescent="0.2">
      <c r="A307" s="28" t="s">
        <v>119</v>
      </c>
      <c r="B307" s="31">
        <v>911</v>
      </c>
      <c r="C307" s="24" t="s">
        <v>49</v>
      </c>
      <c r="D307" s="24" t="s">
        <v>17</v>
      </c>
      <c r="E307" s="24" t="s">
        <v>108</v>
      </c>
      <c r="F307" s="24" t="s">
        <v>63</v>
      </c>
      <c r="G307" s="25">
        <v>1898.3</v>
      </c>
      <c r="H307" s="25">
        <v>1898.3</v>
      </c>
      <c r="I307" s="25">
        <v>1898.3</v>
      </c>
      <c r="J307" s="101"/>
      <c r="K307" s="101"/>
      <c r="L307" s="101"/>
      <c r="M307" s="101"/>
      <c r="N307" s="101"/>
      <c r="O307" s="101"/>
      <c r="P307" s="101"/>
      <c r="Q307" s="101"/>
    </row>
    <row r="308" spans="1:24" s="21" customFormat="1" ht="29.25" customHeight="1" x14ac:dyDescent="0.2">
      <c r="A308" s="52" t="s">
        <v>342</v>
      </c>
      <c r="B308" s="22">
        <v>911</v>
      </c>
      <c r="C308" s="19" t="s">
        <v>49</v>
      </c>
      <c r="D308" s="19" t="s">
        <v>17</v>
      </c>
      <c r="E308" s="19" t="s">
        <v>341</v>
      </c>
      <c r="F308" s="19"/>
      <c r="G308" s="20">
        <f>G309</f>
        <v>5</v>
      </c>
      <c r="H308" s="20">
        <f>H309</f>
        <v>0</v>
      </c>
      <c r="I308" s="20">
        <f>I309</f>
        <v>0</v>
      </c>
    </row>
    <row r="309" spans="1:24" s="26" customFormat="1" x14ac:dyDescent="0.2">
      <c r="A309" s="28" t="s">
        <v>67</v>
      </c>
      <c r="B309" s="31">
        <v>911</v>
      </c>
      <c r="C309" s="24" t="s">
        <v>49</v>
      </c>
      <c r="D309" s="24" t="s">
        <v>17</v>
      </c>
      <c r="E309" s="24" t="s">
        <v>341</v>
      </c>
      <c r="F309" s="24" t="s">
        <v>68</v>
      </c>
      <c r="G309" s="25">
        <v>5</v>
      </c>
      <c r="H309" s="25"/>
      <c r="I309" s="25"/>
    </row>
    <row r="310" spans="1:24" ht="112.5" customHeight="1" x14ac:dyDescent="0.2">
      <c r="A310" s="52" t="s">
        <v>345</v>
      </c>
      <c r="B310" s="22">
        <v>911</v>
      </c>
      <c r="C310" s="19" t="s">
        <v>49</v>
      </c>
      <c r="D310" s="19" t="s">
        <v>17</v>
      </c>
      <c r="E310" s="19" t="s">
        <v>109</v>
      </c>
      <c r="F310" s="19"/>
      <c r="G310" s="20">
        <f>G311</f>
        <v>39680</v>
      </c>
      <c r="H310" s="20">
        <f>H311</f>
        <v>39680</v>
      </c>
      <c r="I310" s="20">
        <f>I311</f>
        <v>39680</v>
      </c>
      <c r="J310" s="100"/>
      <c r="K310" s="100"/>
      <c r="L310" s="100"/>
      <c r="M310" s="100"/>
      <c r="N310" s="100"/>
      <c r="O310" s="100"/>
      <c r="P310" s="100"/>
      <c r="Q310" s="100"/>
      <c r="S310" s="225"/>
      <c r="T310" s="225"/>
      <c r="U310" s="225"/>
      <c r="V310" s="225"/>
      <c r="W310" s="225"/>
      <c r="X310" s="225"/>
    </row>
    <row r="311" spans="1:24" s="26" customFormat="1" x14ac:dyDescent="0.2">
      <c r="A311" s="28" t="s">
        <v>67</v>
      </c>
      <c r="B311" s="31">
        <v>911</v>
      </c>
      <c r="C311" s="24" t="s">
        <v>49</v>
      </c>
      <c r="D311" s="24" t="s">
        <v>17</v>
      </c>
      <c r="E311" s="24" t="s">
        <v>109</v>
      </c>
      <c r="F311" s="24" t="s">
        <v>68</v>
      </c>
      <c r="G311" s="25">
        <v>39680</v>
      </c>
      <c r="H311" s="25">
        <v>39680</v>
      </c>
      <c r="I311" s="25">
        <v>39680</v>
      </c>
      <c r="J311" s="101"/>
      <c r="K311" s="101"/>
      <c r="L311" s="101"/>
      <c r="M311" s="101"/>
      <c r="N311" s="101"/>
      <c r="O311" s="101"/>
      <c r="P311" s="101"/>
      <c r="Q311" s="101"/>
    </row>
    <row r="312" spans="1:24" ht="99" customHeight="1" x14ac:dyDescent="0.2">
      <c r="A312" s="52" t="s">
        <v>579</v>
      </c>
      <c r="B312" s="22">
        <v>911</v>
      </c>
      <c r="C312" s="19" t="s">
        <v>49</v>
      </c>
      <c r="D312" s="19" t="s">
        <v>17</v>
      </c>
      <c r="E312" s="19" t="s">
        <v>343</v>
      </c>
      <c r="F312" s="19"/>
      <c r="G312" s="20">
        <f>G313</f>
        <v>250</v>
      </c>
      <c r="H312" s="20">
        <f>H313</f>
        <v>250</v>
      </c>
      <c r="I312" s="20">
        <f>I313</f>
        <v>250</v>
      </c>
      <c r="J312" s="100"/>
      <c r="K312" s="100"/>
      <c r="L312" s="100"/>
      <c r="M312" s="100"/>
      <c r="N312" s="100"/>
      <c r="O312" s="100"/>
      <c r="P312" s="100"/>
      <c r="Q312" s="100"/>
    </row>
    <row r="313" spans="1:24" s="26" customFormat="1" x14ac:dyDescent="0.2">
      <c r="A313" s="28" t="s">
        <v>67</v>
      </c>
      <c r="B313" s="31">
        <v>911</v>
      </c>
      <c r="C313" s="24" t="s">
        <v>49</v>
      </c>
      <c r="D313" s="24" t="s">
        <v>17</v>
      </c>
      <c r="E313" s="24" t="s">
        <v>343</v>
      </c>
      <c r="F313" s="24" t="s">
        <v>68</v>
      </c>
      <c r="G313" s="25">
        <v>250</v>
      </c>
      <c r="H313" s="25">
        <v>250</v>
      </c>
      <c r="I313" s="25">
        <v>250</v>
      </c>
      <c r="J313" s="101"/>
      <c r="K313" s="101"/>
      <c r="L313" s="101"/>
      <c r="M313" s="101"/>
      <c r="N313" s="101"/>
      <c r="O313" s="101"/>
      <c r="P313" s="101"/>
      <c r="Q313" s="101"/>
    </row>
    <row r="314" spans="1:24" s="21" customFormat="1" ht="38.25" x14ac:dyDescent="0.2">
      <c r="A314" s="18" t="s">
        <v>330</v>
      </c>
      <c r="B314" s="22">
        <v>911</v>
      </c>
      <c r="C314" s="19" t="s">
        <v>49</v>
      </c>
      <c r="D314" s="19" t="s">
        <v>17</v>
      </c>
      <c r="E314" s="19" t="s">
        <v>331</v>
      </c>
      <c r="F314" s="19"/>
      <c r="G314" s="20">
        <f>G315</f>
        <v>2957.1</v>
      </c>
      <c r="H314" s="20">
        <f>H315</f>
        <v>2957.1</v>
      </c>
      <c r="I314" s="20">
        <f>I315</f>
        <v>2957.1</v>
      </c>
    </row>
    <row r="315" spans="1:24" s="26" customFormat="1" ht="25.5" x14ac:dyDescent="0.2">
      <c r="A315" s="79" t="s">
        <v>119</v>
      </c>
      <c r="B315" s="31">
        <v>911</v>
      </c>
      <c r="C315" s="24" t="s">
        <v>49</v>
      </c>
      <c r="D315" s="24" t="s">
        <v>17</v>
      </c>
      <c r="E315" s="24" t="s">
        <v>331</v>
      </c>
      <c r="F315" s="24" t="s">
        <v>63</v>
      </c>
      <c r="G315" s="25">
        <v>2957.1</v>
      </c>
      <c r="H315" s="25">
        <v>2957.1</v>
      </c>
      <c r="I315" s="25">
        <v>2957.1</v>
      </c>
    </row>
    <row r="316" spans="1:24" s="21" customFormat="1" ht="38.25" x14ac:dyDescent="0.2">
      <c r="A316" s="18" t="s">
        <v>329</v>
      </c>
      <c r="B316" s="22">
        <v>911</v>
      </c>
      <c r="C316" s="19" t="s">
        <v>49</v>
      </c>
      <c r="D316" s="19" t="s">
        <v>17</v>
      </c>
      <c r="E316" s="19" t="s">
        <v>328</v>
      </c>
      <c r="F316" s="19"/>
      <c r="G316" s="20">
        <f>G318+G317</f>
        <v>1350.3</v>
      </c>
      <c r="H316" s="20">
        <f t="shared" ref="H316:I316" si="65">H318+H317</f>
        <v>1350.3</v>
      </c>
      <c r="I316" s="20">
        <f t="shared" si="65"/>
        <v>1350.3</v>
      </c>
    </row>
    <row r="317" spans="1:24" s="26" customFormat="1" ht="25.5" x14ac:dyDescent="0.2">
      <c r="A317" s="79" t="s">
        <v>74</v>
      </c>
      <c r="B317" s="31">
        <v>911</v>
      </c>
      <c r="C317" s="24" t="s">
        <v>49</v>
      </c>
      <c r="D317" s="24" t="s">
        <v>17</v>
      </c>
      <c r="E317" s="24" t="s">
        <v>328</v>
      </c>
      <c r="F317" s="24" t="s">
        <v>66</v>
      </c>
      <c r="G317" s="25">
        <v>393.2</v>
      </c>
      <c r="H317" s="25">
        <v>393.2</v>
      </c>
      <c r="I317" s="25">
        <v>393.2</v>
      </c>
    </row>
    <row r="318" spans="1:24" s="26" customFormat="1" ht="25.5" x14ac:dyDescent="0.2">
      <c r="A318" s="79" t="s">
        <v>119</v>
      </c>
      <c r="B318" s="31">
        <v>911</v>
      </c>
      <c r="C318" s="24" t="s">
        <v>49</v>
      </c>
      <c r="D318" s="24" t="s">
        <v>17</v>
      </c>
      <c r="E318" s="24" t="s">
        <v>328</v>
      </c>
      <c r="F318" s="24" t="s">
        <v>63</v>
      </c>
      <c r="G318" s="25">
        <v>957.1</v>
      </c>
      <c r="H318" s="25">
        <v>957.1</v>
      </c>
      <c r="I318" s="25">
        <v>957.1</v>
      </c>
    </row>
    <row r="319" spans="1:24" s="76" customFormat="1" x14ac:dyDescent="0.2">
      <c r="A319" s="87" t="s">
        <v>0</v>
      </c>
      <c r="B319" s="56">
        <v>911</v>
      </c>
      <c r="C319" s="57" t="s">
        <v>20</v>
      </c>
      <c r="D319" s="57"/>
      <c r="E319" s="57"/>
      <c r="F319" s="57"/>
      <c r="G319" s="54">
        <f>G320</f>
        <v>15640.6</v>
      </c>
      <c r="H319" s="54">
        <f t="shared" ref="H319:I320" si="66">H320</f>
        <v>13367.8</v>
      </c>
      <c r="I319" s="54">
        <f t="shared" si="66"/>
        <v>13367.8</v>
      </c>
      <c r="J319" s="101"/>
      <c r="K319" s="101"/>
      <c r="L319" s="101"/>
      <c r="M319" s="101"/>
      <c r="N319" s="101"/>
      <c r="O319" s="101"/>
      <c r="P319" s="101"/>
      <c r="Q319" s="101"/>
    </row>
    <row r="320" spans="1:24" s="76" customFormat="1" x14ac:dyDescent="0.2">
      <c r="A320" s="62" t="s">
        <v>1</v>
      </c>
      <c r="B320" s="63">
        <v>911</v>
      </c>
      <c r="C320" s="64" t="s">
        <v>20</v>
      </c>
      <c r="D320" s="64" t="s">
        <v>11</v>
      </c>
      <c r="E320" s="64"/>
      <c r="F320" s="64"/>
      <c r="G320" s="54">
        <f>G321</f>
        <v>15640.6</v>
      </c>
      <c r="H320" s="54">
        <f t="shared" si="66"/>
        <v>13367.8</v>
      </c>
      <c r="I320" s="54">
        <f t="shared" si="66"/>
        <v>13367.8</v>
      </c>
      <c r="J320" s="101"/>
      <c r="K320" s="101"/>
      <c r="L320" s="101"/>
      <c r="M320" s="101"/>
      <c r="N320" s="101"/>
      <c r="O320" s="101"/>
      <c r="P320" s="101"/>
      <c r="Q320" s="101"/>
    </row>
    <row r="321" spans="1:17" s="71" customFormat="1" ht="25.5" x14ac:dyDescent="0.2">
      <c r="A321" s="67" t="s">
        <v>292</v>
      </c>
      <c r="B321" s="68">
        <v>911</v>
      </c>
      <c r="C321" s="69" t="s">
        <v>20</v>
      </c>
      <c r="D321" s="69" t="s">
        <v>11</v>
      </c>
      <c r="E321" s="69" t="s">
        <v>562</v>
      </c>
      <c r="F321" s="69"/>
      <c r="G321" s="70">
        <f>G322</f>
        <v>15640.6</v>
      </c>
      <c r="H321" s="70">
        <f>H322</f>
        <v>13367.8</v>
      </c>
      <c r="I321" s="70">
        <f>I322</f>
        <v>13367.8</v>
      </c>
      <c r="J321" s="100"/>
      <c r="K321" s="100"/>
      <c r="L321" s="100"/>
      <c r="M321" s="100"/>
      <c r="N321" s="100"/>
      <c r="O321" s="100"/>
      <c r="P321" s="100"/>
      <c r="Q321" s="100"/>
    </row>
    <row r="322" spans="1:17" s="76" customFormat="1" ht="25.5" x14ac:dyDescent="0.2">
      <c r="A322" s="79" t="s">
        <v>119</v>
      </c>
      <c r="B322" s="73">
        <v>911</v>
      </c>
      <c r="C322" s="74" t="s">
        <v>20</v>
      </c>
      <c r="D322" s="74" t="s">
        <v>11</v>
      </c>
      <c r="E322" s="74" t="s">
        <v>562</v>
      </c>
      <c r="F322" s="75" t="s">
        <v>63</v>
      </c>
      <c r="G322" s="54">
        <v>15640.6</v>
      </c>
      <c r="H322" s="54">
        <v>13367.8</v>
      </c>
      <c r="I322" s="54">
        <v>13367.8</v>
      </c>
      <c r="J322" s="101"/>
      <c r="K322" s="101"/>
      <c r="L322" s="101"/>
      <c r="M322" s="101"/>
      <c r="N322" s="101"/>
      <c r="O322" s="101"/>
      <c r="P322" s="101"/>
      <c r="Q322" s="101"/>
    </row>
    <row r="323" spans="1:17" s="9" customFormat="1" ht="30.75" customHeight="1" x14ac:dyDescent="0.2">
      <c r="A323" s="39" t="s">
        <v>6</v>
      </c>
      <c r="B323" s="36">
        <v>913</v>
      </c>
      <c r="C323" s="40"/>
      <c r="D323" s="40"/>
      <c r="E323" s="40"/>
      <c r="F323" s="40"/>
      <c r="G323" s="38">
        <f t="shared" ref="G323:Q323" si="67">G338+G350+G374+G324</f>
        <v>144964.9</v>
      </c>
      <c r="H323" s="38">
        <f t="shared" si="67"/>
        <v>148498</v>
      </c>
      <c r="I323" s="38">
        <f t="shared" si="67"/>
        <v>146244.9</v>
      </c>
      <c r="J323" s="38">
        <f t="shared" si="67"/>
        <v>0</v>
      </c>
      <c r="K323" s="38">
        <f t="shared" si="67"/>
        <v>0</v>
      </c>
      <c r="L323" s="38">
        <f t="shared" si="67"/>
        <v>0</v>
      </c>
      <c r="M323" s="38">
        <f t="shared" si="67"/>
        <v>0</v>
      </c>
      <c r="N323" s="38">
        <f t="shared" si="67"/>
        <v>0</v>
      </c>
      <c r="O323" s="38">
        <f t="shared" si="67"/>
        <v>0</v>
      </c>
      <c r="P323" s="38">
        <f t="shared" si="67"/>
        <v>0</v>
      </c>
      <c r="Q323" s="38">
        <f t="shared" si="67"/>
        <v>0</v>
      </c>
    </row>
    <row r="324" spans="1:17" s="3" customFormat="1" x14ac:dyDescent="0.2">
      <c r="A324" s="13" t="s">
        <v>26</v>
      </c>
      <c r="B324" s="41">
        <v>913</v>
      </c>
      <c r="C324" s="1" t="s">
        <v>17</v>
      </c>
      <c r="D324" s="1"/>
      <c r="E324" s="1"/>
      <c r="F324" s="1"/>
      <c r="G324" s="2">
        <f>G325</f>
        <v>250</v>
      </c>
      <c r="H324" s="2">
        <f>H325</f>
        <v>0</v>
      </c>
      <c r="I324" s="2">
        <f>I325</f>
        <v>0</v>
      </c>
      <c r="J324" s="105"/>
      <c r="K324" s="105"/>
      <c r="L324" s="105"/>
      <c r="M324" s="105"/>
      <c r="N324" s="105"/>
      <c r="O324" s="105"/>
      <c r="P324" s="105"/>
      <c r="Q324" s="105"/>
    </row>
    <row r="325" spans="1:17" s="66" customFormat="1" x14ac:dyDescent="0.2">
      <c r="A325" s="62" t="s">
        <v>27</v>
      </c>
      <c r="B325" s="63">
        <v>913</v>
      </c>
      <c r="C325" s="64" t="s">
        <v>17</v>
      </c>
      <c r="D325" s="64" t="s">
        <v>22</v>
      </c>
      <c r="E325" s="64"/>
      <c r="F325" s="64"/>
      <c r="G325" s="65">
        <f>G326+G328+G330+G332+G334+G336</f>
        <v>250</v>
      </c>
      <c r="H325" s="65">
        <f t="shared" ref="H325:I325" si="68">H326+H328+H330+H332+H334+H336</f>
        <v>0</v>
      </c>
      <c r="I325" s="65">
        <f t="shared" si="68"/>
        <v>0</v>
      </c>
    </row>
    <row r="326" spans="1:17" ht="30.75" customHeight="1" x14ac:dyDescent="0.2">
      <c r="A326" s="18" t="s">
        <v>590</v>
      </c>
      <c r="B326" s="22">
        <v>913</v>
      </c>
      <c r="C326" s="19" t="s">
        <v>17</v>
      </c>
      <c r="D326" s="19" t="s">
        <v>22</v>
      </c>
      <c r="E326" s="19" t="s">
        <v>589</v>
      </c>
      <c r="F326" s="19"/>
      <c r="G326" s="20">
        <f>G327</f>
        <v>10</v>
      </c>
      <c r="H326" s="20">
        <f t="shared" ref="H326:I326" si="69">H327</f>
        <v>0</v>
      </c>
      <c r="I326" s="20">
        <f t="shared" si="69"/>
        <v>0</v>
      </c>
      <c r="J326" s="194"/>
      <c r="K326" s="194"/>
      <c r="L326" s="194"/>
      <c r="M326" s="194"/>
      <c r="N326" s="194"/>
      <c r="O326" s="194"/>
      <c r="P326" s="194"/>
      <c r="Q326" s="194"/>
    </row>
    <row r="327" spans="1:17" s="26" customFormat="1" ht="30.75" customHeight="1" x14ac:dyDescent="0.2">
      <c r="A327" s="28" t="s">
        <v>119</v>
      </c>
      <c r="B327" s="31">
        <v>913</v>
      </c>
      <c r="C327" s="24" t="s">
        <v>17</v>
      </c>
      <c r="D327" s="24" t="s">
        <v>22</v>
      </c>
      <c r="E327" s="24" t="s">
        <v>589</v>
      </c>
      <c r="F327" s="24" t="s">
        <v>63</v>
      </c>
      <c r="G327" s="25">
        <v>10</v>
      </c>
      <c r="H327" s="25">
        <v>0</v>
      </c>
      <c r="I327" s="25">
        <v>0</v>
      </c>
    </row>
    <row r="328" spans="1:17" ht="30.75" customHeight="1" x14ac:dyDescent="0.2">
      <c r="A328" s="18" t="s">
        <v>593</v>
      </c>
      <c r="B328" s="22">
        <v>913</v>
      </c>
      <c r="C328" s="19" t="s">
        <v>17</v>
      </c>
      <c r="D328" s="19" t="s">
        <v>22</v>
      </c>
      <c r="E328" s="19" t="s">
        <v>591</v>
      </c>
      <c r="F328" s="19"/>
      <c r="G328" s="20">
        <f>G329</f>
        <v>10</v>
      </c>
      <c r="H328" s="20">
        <f t="shared" ref="H328" si="70">H329</f>
        <v>0</v>
      </c>
      <c r="I328" s="20">
        <f t="shared" ref="I328" si="71">I329</f>
        <v>0</v>
      </c>
      <c r="J328" s="194"/>
      <c r="K328" s="194"/>
      <c r="L328" s="194"/>
      <c r="M328" s="194"/>
      <c r="N328" s="194"/>
      <c r="O328" s="194"/>
      <c r="P328" s="194"/>
      <c r="Q328" s="194"/>
    </row>
    <row r="329" spans="1:17" s="26" customFormat="1" ht="30.75" customHeight="1" x14ac:dyDescent="0.2">
      <c r="A329" s="28" t="s">
        <v>119</v>
      </c>
      <c r="B329" s="31">
        <v>913</v>
      </c>
      <c r="C329" s="24" t="s">
        <v>17</v>
      </c>
      <c r="D329" s="24" t="s">
        <v>22</v>
      </c>
      <c r="E329" s="24" t="s">
        <v>592</v>
      </c>
      <c r="F329" s="24" t="s">
        <v>63</v>
      </c>
      <c r="G329" s="25">
        <v>10</v>
      </c>
      <c r="H329" s="25">
        <v>0</v>
      </c>
      <c r="I329" s="25">
        <v>0</v>
      </c>
    </row>
    <row r="330" spans="1:17" ht="30.75" customHeight="1" x14ac:dyDescent="0.2">
      <c r="A330" s="18" t="s">
        <v>595</v>
      </c>
      <c r="B330" s="22">
        <v>913</v>
      </c>
      <c r="C330" s="19" t="s">
        <v>17</v>
      </c>
      <c r="D330" s="19" t="s">
        <v>22</v>
      </c>
      <c r="E330" s="19" t="s">
        <v>594</v>
      </c>
      <c r="F330" s="19"/>
      <c r="G330" s="20">
        <f>G331</f>
        <v>110</v>
      </c>
      <c r="H330" s="20">
        <f t="shared" ref="H330" si="72">H331</f>
        <v>0</v>
      </c>
      <c r="I330" s="20">
        <f t="shared" ref="I330" si="73">I331</f>
        <v>0</v>
      </c>
      <c r="J330" s="194"/>
      <c r="K330" s="194"/>
      <c r="L330" s="194"/>
      <c r="M330" s="194"/>
      <c r="N330" s="194"/>
      <c r="O330" s="194"/>
      <c r="P330" s="194"/>
      <c r="Q330" s="194"/>
    </row>
    <row r="331" spans="1:17" s="26" customFormat="1" ht="30.75" customHeight="1" x14ac:dyDescent="0.2">
      <c r="A331" s="28" t="s">
        <v>119</v>
      </c>
      <c r="B331" s="31">
        <v>913</v>
      </c>
      <c r="C331" s="24" t="s">
        <v>17</v>
      </c>
      <c r="D331" s="24" t="s">
        <v>22</v>
      </c>
      <c r="E331" s="24" t="s">
        <v>594</v>
      </c>
      <c r="F331" s="24" t="s">
        <v>63</v>
      </c>
      <c r="G331" s="25">
        <v>110</v>
      </c>
      <c r="H331" s="25">
        <v>0</v>
      </c>
      <c r="I331" s="25">
        <v>0</v>
      </c>
    </row>
    <row r="332" spans="1:17" ht="30.75" customHeight="1" x14ac:dyDescent="0.2">
      <c r="A332" s="18" t="s">
        <v>597</v>
      </c>
      <c r="B332" s="22">
        <v>913</v>
      </c>
      <c r="C332" s="19" t="s">
        <v>17</v>
      </c>
      <c r="D332" s="19" t="s">
        <v>22</v>
      </c>
      <c r="E332" s="19" t="s">
        <v>596</v>
      </c>
      <c r="F332" s="19"/>
      <c r="G332" s="20">
        <f>G333</f>
        <v>106</v>
      </c>
      <c r="H332" s="20">
        <f t="shared" ref="H332" si="74">H333</f>
        <v>0</v>
      </c>
      <c r="I332" s="20">
        <f t="shared" ref="I332" si="75">I333</f>
        <v>0</v>
      </c>
      <c r="J332" s="194"/>
      <c r="K332" s="194"/>
      <c r="L332" s="194"/>
      <c r="M332" s="194"/>
      <c r="N332" s="194"/>
      <c r="O332" s="194"/>
      <c r="P332" s="194"/>
      <c r="Q332" s="194"/>
    </row>
    <row r="333" spans="1:17" s="26" customFormat="1" ht="30.75" customHeight="1" x14ac:dyDescent="0.2">
      <c r="A333" s="28" t="s">
        <v>119</v>
      </c>
      <c r="B333" s="31">
        <v>913</v>
      </c>
      <c r="C333" s="24" t="s">
        <v>17</v>
      </c>
      <c r="D333" s="24" t="s">
        <v>22</v>
      </c>
      <c r="E333" s="24" t="s">
        <v>596</v>
      </c>
      <c r="F333" s="24" t="s">
        <v>63</v>
      </c>
      <c r="G333" s="25">
        <v>106</v>
      </c>
      <c r="H333" s="25">
        <v>0</v>
      </c>
      <c r="I333" s="25">
        <v>0</v>
      </c>
    </row>
    <row r="334" spans="1:17" ht="30.75" customHeight="1" x14ac:dyDescent="0.2">
      <c r="A334" s="18" t="s">
        <v>598</v>
      </c>
      <c r="B334" s="22">
        <v>913</v>
      </c>
      <c r="C334" s="19" t="s">
        <v>17</v>
      </c>
      <c r="D334" s="19" t="s">
        <v>22</v>
      </c>
      <c r="E334" s="19" t="s">
        <v>599</v>
      </c>
      <c r="F334" s="19"/>
      <c r="G334" s="20">
        <f>G335</f>
        <v>4</v>
      </c>
      <c r="H334" s="20">
        <f t="shared" ref="H334" si="76">H335</f>
        <v>0</v>
      </c>
      <c r="I334" s="20">
        <f t="shared" ref="I334" si="77">I335</f>
        <v>0</v>
      </c>
      <c r="J334" s="194"/>
      <c r="K334" s="194"/>
      <c r="L334" s="194"/>
      <c r="M334" s="194"/>
      <c r="N334" s="194"/>
      <c r="O334" s="194"/>
      <c r="P334" s="194"/>
      <c r="Q334" s="194"/>
    </row>
    <row r="335" spans="1:17" s="26" customFormat="1" ht="30.75" customHeight="1" x14ac:dyDescent="0.2">
      <c r="A335" s="28" t="s">
        <v>119</v>
      </c>
      <c r="B335" s="31">
        <v>913</v>
      </c>
      <c r="C335" s="24" t="s">
        <v>17</v>
      </c>
      <c r="D335" s="24" t="s">
        <v>22</v>
      </c>
      <c r="E335" s="24" t="s">
        <v>599</v>
      </c>
      <c r="F335" s="24" t="s">
        <v>63</v>
      </c>
      <c r="G335" s="25">
        <v>4</v>
      </c>
      <c r="H335" s="25">
        <v>0</v>
      </c>
      <c r="I335" s="25">
        <v>0</v>
      </c>
    </row>
    <row r="336" spans="1:17" ht="30.75" customHeight="1" x14ac:dyDescent="0.2">
      <c r="A336" s="18" t="s">
        <v>601</v>
      </c>
      <c r="B336" s="22">
        <v>913</v>
      </c>
      <c r="C336" s="19" t="s">
        <v>17</v>
      </c>
      <c r="D336" s="19" t="s">
        <v>22</v>
      </c>
      <c r="E336" s="19" t="s">
        <v>600</v>
      </c>
      <c r="F336" s="19"/>
      <c r="G336" s="20">
        <f>G337</f>
        <v>10</v>
      </c>
      <c r="H336" s="20">
        <f t="shared" ref="H336" si="78">H337</f>
        <v>0</v>
      </c>
      <c r="I336" s="20">
        <f t="shared" ref="I336" si="79">I337</f>
        <v>0</v>
      </c>
      <c r="J336" s="194"/>
      <c r="K336" s="194"/>
      <c r="L336" s="194"/>
      <c r="M336" s="194"/>
      <c r="N336" s="194"/>
      <c r="O336" s="194"/>
      <c r="P336" s="194"/>
      <c r="Q336" s="194"/>
    </row>
    <row r="337" spans="1:17" s="26" customFormat="1" ht="30.75" customHeight="1" x14ac:dyDescent="0.2">
      <c r="A337" s="28" t="s">
        <v>119</v>
      </c>
      <c r="B337" s="31">
        <v>913</v>
      </c>
      <c r="C337" s="24" t="s">
        <v>17</v>
      </c>
      <c r="D337" s="24" t="s">
        <v>22</v>
      </c>
      <c r="E337" s="24" t="s">
        <v>600</v>
      </c>
      <c r="F337" s="24" t="s">
        <v>63</v>
      </c>
      <c r="G337" s="25">
        <v>10</v>
      </c>
      <c r="H337" s="25">
        <v>0</v>
      </c>
      <c r="I337" s="25">
        <v>0</v>
      </c>
    </row>
    <row r="338" spans="1:17" s="88" customFormat="1" x14ac:dyDescent="0.2">
      <c r="A338" s="87" t="s">
        <v>35</v>
      </c>
      <c r="B338" s="56">
        <v>913</v>
      </c>
      <c r="C338" s="57" t="s">
        <v>18</v>
      </c>
      <c r="D338" s="57"/>
      <c r="E338" s="57"/>
      <c r="F338" s="57"/>
      <c r="G338" s="60">
        <f>G339+G347</f>
        <v>30824.699999999997</v>
      </c>
      <c r="H338" s="60">
        <f t="shared" ref="H338:I338" si="80">H339+H347</f>
        <v>46613.299999999996</v>
      </c>
      <c r="I338" s="60">
        <f t="shared" si="80"/>
        <v>46368.4</v>
      </c>
    </row>
    <row r="339" spans="1:17" s="66" customFormat="1" x14ac:dyDescent="0.2">
      <c r="A339" s="62" t="s">
        <v>275</v>
      </c>
      <c r="B339" s="63">
        <v>913</v>
      </c>
      <c r="C339" s="64" t="s">
        <v>18</v>
      </c>
      <c r="D339" s="64" t="s">
        <v>15</v>
      </c>
      <c r="E339" s="64"/>
      <c r="F339" s="64"/>
      <c r="G339" s="65">
        <f>G344+G342+G340</f>
        <v>30821.699999999997</v>
      </c>
      <c r="H339" s="65">
        <f t="shared" ref="H339:I339" si="81">H344+H342+H340</f>
        <v>46613.299999999996</v>
      </c>
      <c r="I339" s="65">
        <f t="shared" si="81"/>
        <v>46368.4</v>
      </c>
    </row>
    <row r="340" spans="1:17" s="12" customFormat="1" ht="25.5" x14ac:dyDescent="0.2">
      <c r="A340" s="17" t="s">
        <v>135</v>
      </c>
      <c r="B340" s="43">
        <v>913</v>
      </c>
      <c r="C340" s="19" t="s">
        <v>18</v>
      </c>
      <c r="D340" s="19" t="s">
        <v>15</v>
      </c>
      <c r="E340" s="19" t="s">
        <v>134</v>
      </c>
      <c r="F340" s="5"/>
      <c r="G340" s="6">
        <f>G341</f>
        <v>348.6</v>
      </c>
      <c r="H340" s="6">
        <f>H341</f>
        <v>110.6</v>
      </c>
      <c r="I340" s="6">
        <f>I341</f>
        <v>110.6</v>
      </c>
      <c r="J340" s="107"/>
      <c r="K340" s="107"/>
      <c r="L340" s="107"/>
      <c r="M340" s="107"/>
      <c r="N340" s="107"/>
      <c r="O340" s="107"/>
      <c r="P340" s="107"/>
      <c r="Q340" s="107"/>
    </row>
    <row r="341" spans="1:17" s="26" customFormat="1" ht="25.5" x14ac:dyDescent="0.2">
      <c r="A341" s="28" t="s">
        <v>119</v>
      </c>
      <c r="B341" s="31">
        <v>913</v>
      </c>
      <c r="C341" s="24" t="s">
        <v>18</v>
      </c>
      <c r="D341" s="24" t="s">
        <v>15</v>
      </c>
      <c r="E341" s="24" t="s">
        <v>134</v>
      </c>
      <c r="F341" s="24" t="s">
        <v>63</v>
      </c>
      <c r="G341" s="25">
        <v>348.6</v>
      </c>
      <c r="H341" s="25">
        <v>110.6</v>
      </c>
      <c r="I341" s="25">
        <v>110.6</v>
      </c>
      <c r="J341" s="101"/>
      <c r="K341" s="101"/>
      <c r="L341" s="101"/>
      <c r="M341" s="101"/>
      <c r="N341" s="101"/>
      <c r="O341" s="101"/>
      <c r="P341" s="101"/>
      <c r="Q341" s="101"/>
    </row>
    <row r="342" spans="1:17" s="21" customFormat="1" x14ac:dyDescent="0.2">
      <c r="A342" s="18" t="s">
        <v>142</v>
      </c>
      <c r="B342" s="22">
        <v>913</v>
      </c>
      <c r="C342" s="19" t="s">
        <v>18</v>
      </c>
      <c r="D342" s="19" t="s">
        <v>15</v>
      </c>
      <c r="E342" s="19" t="s">
        <v>141</v>
      </c>
      <c r="F342" s="19"/>
      <c r="G342" s="20">
        <f>G343</f>
        <v>0</v>
      </c>
      <c r="H342" s="20">
        <f t="shared" ref="H342:I342" si="82">H343</f>
        <v>16812.599999999999</v>
      </c>
      <c r="I342" s="20">
        <f t="shared" si="82"/>
        <v>16812.599999999999</v>
      </c>
      <c r="J342" s="100"/>
      <c r="K342" s="100"/>
      <c r="L342" s="100"/>
      <c r="M342" s="100"/>
      <c r="N342" s="100"/>
      <c r="O342" s="100"/>
      <c r="P342" s="100"/>
      <c r="Q342" s="100"/>
    </row>
    <row r="343" spans="1:17" s="26" customFormat="1" ht="23.25" customHeight="1" x14ac:dyDescent="0.2">
      <c r="A343" s="28" t="s">
        <v>80</v>
      </c>
      <c r="B343" s="31">
        <v>913</v>
      </c>
      <c r="C343" s="24" t="s">
        <v>18</v>
      </c>
      <c r="D343" s="24" t="s">
        <v>15</v>
      </c>
      <c r="E343" s="24" t="s">
        <v>141</v>
      </c>
      <c r="F343" s="24" t="s">
        <v>69</v>
      </c>
      <c r="G343" s="25">
        <v>0</v>
      </c>
      <c r="H343" s="25">
        <v>16812.599999999999</v>
      </c>
      <c r="I343" s="25">
        <v>16812.599999999999</v>
      </c>
      <c r="J343" s="101"/>
      <c r="K343" s="101"/>
      <c r="L343" s="101"/>
      <c r="M343" s="101"/>
      <c r="N343" s="101"/>
      <c r="O343" s="101"/>
      <c r="P343" s="101"/>
      <c r="Q343" s="101"/>
    </row>
    <row r="344" spans="1:17" s="71" customFormat="1" ht="63.75" x14ac:dyDescent="0.2">
      <c r="A344" s="67" t="s">
        <v>281</v>
      </c>
      <c r="B344" s="68">
        <v>913</v>
      </c>
      <c r="C344" s="69" t="s">
        <v>18</v>
      </c>
      <c r="D344" s="69" t="s">
        <v>15</v>
      </c>
      <c r="E344" s="69" t="s">
        <v>201</v>
      </c>
      <c r="F344" s="69"/>
      <c r="G344" s="70">
        <f>G346+G345</f>
        <v>30473.1</v>
      </c>
      <c r="H344" s="70">
        <f t="shared" ref="H344:I344" si="83">H346+H345</f>
        <v>29690.1</v>
      </c>
      <c r="I344" s="70">
        <f t="shared" si="83"/>
        <v>29445.200000000001</v>
      </c>
      <c r="J344" s="100"/>
      <c r="K344" s="100"/>
      <c r="L344" s="100"/>
      <c r="M344" s="100"/>
      <c r="N344" s="100"/>
      <c r="O344" s="100"/>
      <c r="P344" s="100"/>
      <c r="Q344" s="100"/>
    </row>
    <row r="345" spans="1:17" s="26" customFormat="1" x14ac:dyDescent="0.2">
      <c r="A345" s="28" t="s">
        <v>67</v>
      </c>
      <c r="B345" s="31">
        <v>913</v>
      </c>
      <c r="C345" s="24" t="s">
        <v>18</v>
      </c>
      <c r="D345" s="24" t="s">
        <v>15</v>
      </c>
      <c r="E345" s="24" t="s">
        <v>201</v>
      </c>
      <c r="F345" s="27" t="s">
        <v>68</v>
      </c>
      <c r="G345" s="25">
        <v>30</v>
      </c>
      <c r="H345" s="25"/>
      <c r="I345" s="25"/>
    </row>
    <row r="346" spans="1:17" s="26" customFormat="1" ht="25.5" x14ac:dyDescent="0.2">
      <c r="A346" s="28" t="s">
        <v>119</v>
      </c>
      <c r="B346" s="28">
        <v>913</v>
      </c>
      <c r="C346" s="24" t="s">
        <v>18</v>
      </c>
      <c r="D346" s="24" t="s">
        <v>15</v>
      </c>
      <c r="E346" s="24" t="s">
        <v>201</v>
      </c>
      <c r="F346" s="24" t="s">
        <v>63</v>
      </c>
      <c r="G346" s="25">
        <v>30443.1</v>
      </c>
      <c r="H346" s="25">
        <v>29690.1</v>
      </c>
      <c r="I346" s="25">
        <v>29445.200000000001</v>
      </c>
      <c r="J346" s="101"/>
      <c r="K346" s="101"/>
      <c r="L346" s="101"/>
      <c r="M346" s="101"/>
      <c r="N346" s="101"/>
      <c r="O346" s="101"/>
      <c r="P346" s="101"/>
      <c r="Q346" s="101"/>
    </row>
    <row r="347" spans="1:17" s="66" customFormat="1" x14ac:dyDescent="0.2">
      <c r="A347" s="62" t="s">
        <v>39</v>
      </c>
      <c r="B347" s="63">
        <v>913</v>
      </c>
      <c r="C347" s="64" t="s">
        <v>18</v>
      </c>
      <c r="D347" s="64" t="s">
        <v>25</v>
      </c>
      <c r="E347" s="64"/>
      <c r="F347" s="64"/>
      <c r="G347" s="65">
        <f>G348</f>
        <v>3</v>
      </c>
      <c r="H347" s="65">
        <f t="shared" ref="H347:I347" si="84">H348</f>
        <v>0</v>
      </c>
      <c r="I347" s="65">
        <f t="shared" si="84"/>
        <v>0</v>
      </c>
    </row>
    <row r="348" spans="1:17" s="21" customFormat="1" ht="25.5" x14ac:dyDescent="0.2">
      <c r="A348" s="18" t="s">
        <v>282</v>
      </c>
      <c r="B348" s="22">
        <v>913</v>
      </c>
      <c r="C348" s="19" t="s">
        <v>18</v>
      </c>
      <c r="D348" s="19" t="s">
        <v>25</v>
      </c>
      <c r="E348" s="19" t="s">
        <v>157</v>
      </c>
      <c r="F348" s="19"/>
      <c r="G348" s="20">
        <f>G349</f>
        <v>3</v>
      </c>
      <c r="H348" s="20">
        <f>H349</f>
        <v>0</v>
      </c>
      <c r="I348" s="20">
        <f>I349</f>
        <v>0</v>
      </c>
    </row>
    <row r="349" spans="1:17" s="26" customFormat="1" ht="25.5" x14ac:dyDescent="0.2">
      <c r="A349" s="28" t="s">
        <v>119</v>
      </c>
      <c r="B349" s="31">
        <v>913</v>
      </c>
      <c r="C349" s="24" t="s">
        <v>18</v>
      </c>
      <c r="D349" s="24" t="s">
        <v>25</v>
      </c>
      <c r="E349" s="24" t="s">
        <v>157</v>
      </c>
      <c r="F349" s="24" t="s">
        <v>63</v>
      </c>
      <c r="G349" s="25">
        <v>3</v>
      </c>
      <c r="H349" s="25"/>
      <c r="I349" s="25"/>
    </row>
    <row r="350" spans="1:17" s="88" customFormat="1" ht="25.5" x14ac:dyDescent="0.2">
      <c r="A350" s="87" t="s">
        <v>40</v>
      </c>
      <c r="B350" s="56">
        <v>913</v>
      </c>
      <c r="C350" s="57" t="s">
        <v>41</v>
      </c>
      <c r="D350" s="57"/>
      <c r="E350" s="57"/>
      <c r="F350" s="57"/>
      <c r="G350" s="60">
        <f>G351+G366</f>
        <v>113658.2</v>
      </c>
      <c r="H350" s="60">
        <f t="shared" ref="H350:I350" si="85">H351+H366</f>
        <v>101652.7</v>
      </c>
      <c r="I350" s="60">
        <f t="shared" si="85"/>
        <v>99644.5</v>
      </c>
    </row>
    <row r="351" spans="1:17" s="66" customFormat="1" x14ac:dyDescent="0.2">
      <c r="A351" s="62" t="s">
        <v>42</v>
      </c>
      <c r="B351" s="63">
        <v>913</v>
      </c>
      <c r="C351" s="64" t="s">
        <v>41</v>
      </c>
      <c r="D351" s="64" t="s">
        <v>11</v>
      </c>
      <c r="E351" s="64"/>
      <c r="F351" s="64"/>
      <c r="G351" s="65">
        <f>G358+G361+G363+G354+G356+G352</f>
        <v>92153</v>
      </c>
      <c r="H351" s="65">
        <f t="shared" ref="H351:I351" si="86">H358+H361+H363+H354+H356+H352</f>
        <v>80676.399999999994</v>
      </c>
      <c r="I351" s="65">
        <f t="shared" si="86"/>
        <v>78668.2</v>
      </c>
      <c r="J351" s="65" t="e">
        <f>J358+J361+J363+J354+J356+#REF!+J352</f>
        <v>#REF!</v>
      </c>
      <c r="K351" s="65" t="e">
        <f>K358+K361+K363+K354+K356+#REF!+K352</f>
        <v>#REF!</v>
      </c>
      <c r="L351" s="65" t="e">
        <f>L358+L361+L363+L354+L356+#REF!+L352</f>
        <v>#REF!</v>
      </c>
      <c r="M351" s="65" t="e">
        <f>M358+M361+M363+M354+M356+#REF!+M352</f>
        <v>#REF!</v>
      </c>
      <c r="N351" s="65" t="e">
        <f>N358+N361+N363+N354+N356+#REF!+N352</f>
        <v>#REF!</v>
      </c>
      <c r="O351" s="65" t="e">
        <f>O358+O361+O363+O354+O356+#REF!+O352</f>
        <v>#REF!</v>
      </c>
      <c r="P351" s="65" t="e">
        <f>P358+P361+P363+P354+P356+#REF!+P352</f>
        <v>#REF!</v>
      </c>
      <c r="Q351" s="65" t="e">
        <f>Q358+Q361+Q363+Q354+Q356+#REF!+Q352</f>
        <v>#REF!</v>
      </c>
    </row>
    <row r="352" spans="1:17" s="12" customFormat="1" ht="25.5" x14ac:dyDescent="0.2">
      <c r="A352" s="17" t="s">
        <v>135</v>
      </c>
      <c r="B352" s="43">
        <v>913</v>
      </c>
      <c r="C352" s="19" t="s">
        <v>41</v>
      </c>
      <c r="D352" s="19" t="s">
        <v>11</v>
      </c>
      <c r="E352" s="19" t="s">
        <v>134</v>
      </c>
      <c r="F352" s="5"/>
      <c r="G352" s="6">
        <f>G353</f>
        <v>2422.1999999999998</v>
      </c>
      <c r="H352" s="6">
        <f>H353</f>
        <v>520.20000000000005</v>
      </c>
      <c r="I352" s="6">
        <f>I353</f>
        <v>520.20000000000005</v>
      </c>
    </row>
    <row r="353" spans="1:17" s="26" customFormat="1" ht="25.5" x14ac:dyDescent="0.2">
      <c r="A353" s="28" t="s">
        <v>119</v>
      </c>
      <c r="B353" s="31">
        <v>913</v>
      </c>
      <c r="C353" s="24" t="s">
        <v>41</v>
      </c>
      <c r="D353" s="24" t="s">
        <v>11</v>
      </c>
      <c r="E353" s="24" t="s">
        <v>134</v>
      </c>
      <c r="F353" s="24" t="s">
        <v>63</v>
      </c>
      <c r="G353" s="25">
        <v>2422.1999999999998</v>
      </c>
      <c r="H353" s="25">
        <v>520.20000000000005</v>
      </c>
      <c r="I353" s="25">
        <v>520.20000000000005</v>
      </c>
    </row>
    <row r="354" spans="1:17" x14ac:dyDescent="0.2">
      <c r="A354" s="18" t="s">
        <v>144</v>
      </c>
      <c r="B354" s="22">
        <v>913</v>
      </c>
      <c r="C354" s="19" t="s">
        <v>41</v>
      </c>
      <c r="D354" s="19" t="s">
        <v>11</v>
      </c>
      <c r="E354" s="24" t="s">
        <v>143</v>
      </c>
      <c r="F354" s="19"/>
      <c r="G354" s="20">
        <f>G355</f>
        <v>4598</v>
      </c>
      <c r="H354" s="20">
        <f t="shared" ref="H354:I354" si="87">H355</f>
        <v>0</v>
      </c>
      <c r="I354" s="20">
        <f t="shared" si="87"/>
        <v>0</v>
      </c>
      <c r="J354" s="100"/>
      <c r="K354" s="100"/>
      <c r="L354" s="100"/>
      <c r="M354" s="100"/>
      <c r="N354" s="100"/>
      <c r="O354" s="100"/>
      <c r="P354" s="100"/>
      <c r="Q354" s="100"/>
    </row>
    <row r="355" spans="1:17" s="26" customFormat="1" ht="25.5" x14ac:dyDescent="0.2">
      <c r="A355" s="28" t="s">
        <v>74</v>
      </c>
      <c r="B355" s="22">
        <v>913</v>
      </c>
      <c r="C355" s="24" t="s">
        <v>41</v>
      </c>
      <c r="D355" s="24" t="s">
        <v>11</v>
      </c>
      <c r="E355" s="24" t="s">
        <v>143</v>
      </c>
      <c r="F355" s="24" t="s">
        <v>66</v>
      </c>
      <c r="G355" s="25">
        <v>4598</v>
      </c>
      <c r="H355" s="25"/>
      <c r="I355" s="25"/>
      <c r="J355" s="101"/>
      <c r="K355" s="101"/>
      <c r="L355" s="101"/>
      <c r="M355" s="101"/>
      <c r="N355" s="101"/>
      <c r="O355" s="101"/>
      <c r="P355" s="101"/>
      <c r="Q355" s="101"/>
    </row>
    <row r="356" spans="1:17" ht="38.25" x14ac:dyDescent="0.2">
      <c r="A356" s="18" t="s">
        <v>303</v>
      </c>
      <c r="B356" s="18">
        <v>913</v>
      </c>
      <c r="C356" s="19" t="s">
        <v>41</v>
      </c>
      <c r="D356" s="19" t="s">
        <v>11</v>
      </c>
      <c r="E356" s="19" t="s">
        <v>304</v>
      </c>
      <c r="F356" s="19"/>
      <c r="G356" s="20">
        <f>G357</f>
        <v>4425</v>
      </c>
      <c r="H356" s="20">
        <f>H357</f>
        <v>4425</v>
      </c>
      <c r="I356" s="20">
        <f>I357</f>
        <v>4425</v>
      </c>
      <c r="J356" s="100"/>
      <c r="K356" s="100"/>
      <c r="L356" s="100"/>
      <c r="M356" s="100"/>
      <c r="N356" s="100"/>
      <c r="O356" s="100"/>
      <c r="P356" s="100"/>
      <c r="Q356" s="100"/>
    </row>
    <row r="357" spans="1:17" ht="25.5" x14ac:dyDescent="0.2">
      <c r="A357" s="28" t="s">
        <v>119</v>
      </c>
      <c r="B357" s="28">
        <v>913</v>
      </c>
      <c r="C357" s="24" t="s">
        <v>41</v>
      </c>
      <c r="D357" s="24" t="s">
        <v>11</v>
      </c>
      <c r="E357" s="24" t="s">
        <v>304</v>
      </c>
      <c r="F357" s="24" t="s">
        <v>63</v>
      </c>
      <c r="G357" s="25">
        <v>4425</v>
      </c>
      <c r="H357" s="25">
        <v>4425</v>
      </c>
      <c r="I357" s="25">
        <v>4425</v>
      </c>
      <c r="J357" s="100"/>
      <c r="K357" s="100"/>
      <c r="L357" s="100"/>
      <c r="M357" s="100"/>
      <c r="N357" s="100"/>
      <c r="O357" s="100"/>
      <c r="P357" s="100"/>
      <c r="Q357" s="100"/>
    </row>
    <row r="358" spans="1:17" x14ac:dyDescent="0.2">
      <c r="A358" s="18" t="s">
        <v>220</v>
      </c>
      <c r="B358" s="22">
        <v>913</v>
      </c>
      <c r="C358" s="19" t="s">
        <v>41</v>
      </c>
      <c r="D358" s="19" t="s">
        <v>11</v>
      </c>
      <c r="E358" s="19" t="s">
        <v>219</v>
      </c>
      <c r="F358" s="19"/>
      <c r="G358" s="20">
        <f>G360+G359</f>
        <v>57297.4</v>
      </c>
      <c r="H358" s="20">
        <f>H360+H359</f>
        <v>53505</v>
      </c>
      <c r="I358" s="20">
        <f>I360+I359</f>
        <v>51942.3</v>
      </c>
      <c r="J358" s="194"/>
      <c r="K358" s="194"/>
      <c r="L358" s="194"/>
      <c r="M358" s="194"/>
      <c r="N358" s="194"/>
      <c r="O358" s="194"/>
      <c r="P358" s="194"/>
      <c r="Q358" s="194"/>
    </row>
    <row r="359" spans="1:17" s="26" customFormat="1" x14ac:dyDescent="0.2">
      <c r="A359" s="28" t="s">
        <v>67</v>
      </c>
      <c r="B359" s="28">
        <v>913</v>
      </c>
      <c r="C359" s="24" t="s">
        <v>41</v>
      </c>
      <c r="D359" s="24" t="s">
        <v>11</v>
      </c>
      <c r="E359" s="24" t="s">
        <v>219</v>
      </c>
      <c r="F359" s="27" t="s">
        <v>68</v>
      </c>
      <c r="G359" s="25">
        <v>15</v>
      </c>
      <c r="H359" s="25"/>
      <c r="I359" s="25"/>
    </row>
    <row r="360" spans="1:17" s="26" customFormat="1" ht="25.5" x14ac:dyDescent="0.2">
      <c r="A360" s="28" t="s">
        <v>119</v>
      </c>
      <c r="B360" s="31">
        <v>913</v>
      </c>
      <c r="C360" s="24" t="s">
        <v>41</v>
      </c>
      <c r="D360" s="24" t="s">
        <v>11</v>
      </c>
      <c r="E360" s="24" t="s">
        <v>219</v>
      </c>
      <c r="F360" s="24" t="s">
        <v>63</v>
      </c>
      <c r="G360" s="25">
        <v>57282.400000000001</v>
      </c>
      <c r="H360" s="25">
        <v>53505</v>
      </c>
      <c r="I360" s="25">
        <v>51942.3</v>
      </c>
      <c r="J360" s="101"/>
      <c r="K360" s="101"/>
      <c r="L360" s="101"/>
      <c r="M360" s="101"/>
      <c r="N360" s="101"/>
      <c r="O360" s="101"/>
      <c r="P360" s="101"/>
      <c r="Q360" s="101"/>
    </row>
    <row r="361" spans="1:17" x14ac:dyDescent="0.2">
      <c r="A361" s="18" t="s">
        <v>222</v>
      </c>
      <c r="B361" s="22">
        <v>913</v>
      </c>
      <c r="C361" s="19" t="s">
        <v>41</v>
      </c>
      <c r="D361" s="19" t="s">
        <v>11</v>
      </c>
      <c r="E361" s="19" t="s">
        <v>221</v>
      </c>
      <c r="F361" s="19"/>
      <c r="G361" s="20">
        <f>G362</f>
        <v>4209.6000000000004</v>
      </c>
      <c r="H361" s="20">
        <f>H362</f>
        <v>4059.4</v>
      </c>
      <c r="I361" s="20">
        <f>I362</f>
        <v>3992.5</v>
      </c>
      <c r="J361" s="100"/>
      <c r="K361" s="100"/>
      <c r="L361" s="100"/>
      <c r="M361" s="100"/>
      <c r="N361" s="100"/>
      <c r="O361" s="100"/>
      <c r="P361" s="100"/>
      <c r="Q361" s="100"/>
    </row>
    <row r="362" spans="1:17" s="26" customFormat="1" ht="25.5" x14ac:dyDescent="0.2">
      <c r="A362" s="28" t="s">
        <v>119</v>
      </c>
      <c r="B362" s="31">
        <v>913</v>
      </c>
      <c r="C362" s="24" t="s">
        <v>41</v>
      </c>
      <c r="D362" s="24" t="s">
        <v>11</v>
      </c>
      <c r="E362" s="24" t="s">
        <v>221</v>
      </c>
      <c r="F362" s="24" t="s">
        <v>63</v>
      </c>
      <c r="G362" s="25">
        <v>4209.6000000000004</v>
      </c>
      <c r="H362" s="25">
        <v>4059.4</v>
      </c>
      <c r="I362" s="25">
        <v>3992.5</v>
      </c>
      <c r="J362" s="101"/>
      <c r="K362" s="101"/>
      <c r="L362" s="101"/>
      <c r="M362" s="101"/>
      <c r="N362" s="101"/>
      <c r="O362" s="101"/>
      <c r="P362" s="101"/>
      <c r="Q362" s="101"/>
    </row>
    <row r="363" spans="1:17" s="71" customFormat="1" x14ac:dyDescent="0.2">
      <c r="A363" s="67" t="s">
        <v>224</v>
      </c>
      <c r="B363" s="68">
        <v>913</v>
      </c>
      <c r="C363" s="69" t="s">
        <v>41</v>
      </c>
      <c r="D363" s="69" t="s">
        <v>11</v>
      </c>
      <c r="E363" s="69" t="s">
        <v>223</v>
      </c>
      <c r="F363" s="69"/>
      <c r="G363" s="70">
        <f>G365+G364</f>
        <v>19200.8</v>
      </c>
      <c r="H363" s="70">
        <f>H365+H364</f>
        <v>18166.8</v>
      </c>
      <c r="I363" s="70">
        <f>I365+I364</f>
        <v>17788.2</v>
      </c>
      <c r="J363" s="100"/>
      <c r="K363" s="100"/>
      <c r="L363" s="100"/>
      <c r="M363" s="100"/>
      <c r="N363" s="100"/>
      <c r="O363" s="100"/>
      <c r="P363" s="100"/>
      <c r="Q363" s="100"/>
    </row>
    <row r="364" spans="1:17" s="26" customFormat="1" x14ac:dyDescent="0.2">
      <c r="A364" s="28" t="s">
        <v>67</v>
      </c>
      <c r="B364" s="28">
        <v>913</v>
      </c>
      <c r="C364" s="24" t="s">
        <v>41</v>
      </c>
      <c r="D364" s="24" t="s">
        <v>11</v>
      </c>
      <c r="E364" s="24" t="s">
        <v>223</v>
      </c>
      <c r="F364" s="27" t="s">
        <v>68</v>
      </c>
      <c r="G364" s="25">
        <v>15</v>
      </c>
      <c r="H364" s="25"/>
      <c r="I364" s="25"/>
    </row>
    <row r="365" spans="1:17" s="26" customFormat="1" ht="25.5" x14ac:dyDescent="0.2">
      <c r="A365" s="28" t="s">
        <v>119</v>
      </c>
      <c r="B365" s="31">
        <v>913</v>
      </c>
      <c r="C365" s="24" t="s">
        <v>41</v>
      </c>
      <c r="D365" s="24" t="s">
        <v>11</v>
      </c>
      <c r="E365" s="24" t="s">
        <v>223</v>
      </c>
      <c r="F365" s="24" t="s">
        <v>63</v>
      </c>
      <c r="G365" s="25">
        <v>19185.8</v>
      </c>
      <c r="H365" s="25">
        <v>18166.8</v>
      </c>
      <c r="I365" s="25">
        <v>17788.2</v>
      </c>
      <c r="J365" s="101"/>
      <c r="K365" s="101"/>
      <c r="L365" s="101"/>
      <c r="M365" s="101"/>
      <c r="N365" s="101"/>
      <c r="O365" s="101"/>
      <c r="P365" s="101"/>
      <c r="Q365" s="101"/>
    </row>
    <row r="366" spans="1:17" s="9" customFormat="1" ht="16.5" customHeight="1" x14ac:dyDescent="0.2">
      <c r="A366" s="11" t="s">
        <v>24</v>
      </c>
      <c r="B366" s="14">
        <v>913</v>
      </c>
      <c r="C366" s="8" t="s">
        <v>41</v>
      </c>
      <c r="D366" s="8" t="s">
        <v>17</v>
      </c>
      <c r="E366" s="8"/>
      <c r="F366" s="8"/>
      <c r="G366" s="4">
        <f>G367+G371</f>
        <v>21505.200000000001</v>
      </c>
      <c r="H366" s="4">
        <f t="shared" ref="H366:I366" si="88">H367+H371</f>
        <v>20976.3</v>
      </c>
      <c r="I366" s="4">
        <f t="shared" si="88"/>
        <v>20976.3</v>
      </c>
      <c r="J366" s="106"/>
      <c r="K366" s="106"/>
      <c r="L366" s="106"/>
      <c r="M366" s="106"/>
      <c r="N366" s="106"/>
      <c r="O366" s="106"/>
      <c r="P366" s="106"/>
      <c r="Q366" s="106"/>
    </row>
    <row r="367" spans="1:17" x14ac:dyDescent="0.2">
      <c r="A367" s="18" t="s">
        <v>286</v>
      </c>
      <c r="B367" s="22">
        <v>913</v>
      </c>
      <c r="C367" s="19" t="s">
        <v>41</v>
      </c>
      <c r="D367" s="19" t="s">
        <v>17</v>
      </c>
      <c r="E367" s="19" t="s">
        <v>225</v>
      </c>
      <c r="F367" s="19"/>
      <c r="G367" s="20">
        <f>G368+G369+G370</f>
        <v>1290.9000000000001</v>
      </c>
      <c r="H367" s="20">
        <f>H368+H369+H370</f>
        <v>1222.5</v>
      </c>
      <c r="I367" s="20">
        <f>I368+I369+I370</f>
        <v>1222.5</v>
      </c>
      <c r="J367" s="100"/>
      <c r="K367" s="100"/>
      <c r="L367" s="100"/>
      <c r="M367" s="100"/>
      <c r="N367" s="100"/>
      <c r="O367" s="100"/>
      <c r="P367" s="100"/>
      <c r="Q367" s="100"/>
    </row>
    <row r="368" spans="1:17" s="26" customFormat="1" ht="51.75" customHeight="1" x14ac:dyDescent="0.2">
      <c r="A368" s="23" t="s">
        <v>64</v>
      </c>
      <c r="B368" s="31">
        <v>913</v>
      </c>
      <c r="C368" s="24" t="s">
        <v>41</v>
      </c>
      <c r="D368" s="24" t="s">
        <v>17</v>
      </c>
      <c r="E368" s="24" t="s">
        <v>225</v>
      </c>
      <c r="F368" s="27" t="s">
        <v>65</v>
      </c>
      <c r="G368" s="25">
        <v>1188.8</v>
      </c>
      <c r="H368" s="25">
        <v>1186.8</v>
      </c>
      <c r="I368" s="25">
        <v>1186.8</v>
      </c>
      <c r="J368" s="101"/>
      <c r="K368" s="101"/>
      <c r="L368" s="101"/>
      <c r="M368" s="101"/>
      <c r="N368" s="101"/>
      <c r="O368" s="101"/>
      <c r="P368" s="101"/>
      <c r="Q368" s="101"/>
    </row>
    <row r="369" spans="1:17" s="26" customFormat="1" ht="25.5" x14ac:dyDescent="0.2">
      <c r="A369" s="28" t="s">
        <v>74</v>
      </c>
      <c r="B369" s="31">
        <v>913</v>
      </c>
      <c r="C369" s="24" t="s">
        <v>41</v>
      </c>
      <c r="D369" s="24" t="s">
        <v>17</v>
      </c>
      <c r="E369" s="24" t="s">
        <v>225</v>
      </c>
      <c r="F369" s="27" t="s">
        <v>66</v>
      </c>
      <c r="G369" s="25">
        <v>96.9</v>
      </c>
      <c r="H369" s="25">
        <v>35.700000000000003</v>
      </c>
      <c r="I369" s="25">
        <v>35.700000000000003</v>
      </c>
      <c r="J369" s="101"/>
      <c r="K369" s="101"/>
      <c r="L369" s="101"/>
      <c r="M369" s="101"/>
      <c r="N369" s="101"/>
      <c r="O369" s="101"/>
      <c r="P369" s="101"/>
      <c r="Q369" s="101"/>
    </row>
    <row r="370" spans="1:17" s="26" customFormat="1" x14ac:dyDescent="0.2">
      <c r="A370" s="28" t="s">
        <v>70</v>
      </c>
      <c r="B370" s="31">
        <v>913</v>
      </c>
      <c r="C370" s="24" t="s">
        <v>41</v>
      </c>
      <c r="D370" s="24" t="s">
        <v>17</v>
      </c>
      <c r="E370" s="24" t="s">
        <v>225</v>
      </c>
      <c r="F370" s="24" t="s">
        <v>71</v>
      </c>
      <c r="G370" s="25">
        <v>5.2</v>
      </c>
      <c r="H370" s="25"/>
      <c r="I370" s="25"/>
      <c r="J370" s="101"/>
      <c r="K370" s="101"/>
      <c r="L370" s="101"/>
      <c r="M370" s="101"/>
      <c r="N370" s="101"/>
      <c r="O370" s="101"/>
      <c r="P370" s="101"/>
      <c r="Q370" s="101"/>
    </row>
    <row r="371" spans="1:17" x14ac:dyDescent="0.2">
      <c r="A371" s="18" t="s">
        <v>286</v>
      </c>
      <c r="B371" s="22">
        <v>913</v>
      </c>
      <c r="C371" s="19" t="s">
        <v>41</v>
      </c>
      <c r="D371" s="19" t="s">
        <v>17</v>
      </c>
      <c r="E371" s="19" t="s">
        <v>332</v>
      </c>
      <c r="F371" s="19"/>
      <c r="G371" s="20">
        <f>G372+G373</f>
        <v>20214.3</v>
      </c>
      <c r="H371" s="20">
        <f t="shared" ref="H371:I371" si="89">H372+H373</f>
        <v>19753.8</v>
      </c>
      <c r="I371" s="20">
        <f t="shared" si="89"/>
        <v>19753.8</v>
      </c>
      <c r="J371" s="100"/>
      <c r="K371" s="100"/>
      <c r="L371" s="100"/>
      <c r="M371" s="100"/>
      <c r="N371" s="100"/>
      <c r="O371" s="100"/>
      <c r="P371" s="100"/>
      <c r="Q371" s="100"/>
    </row>
    <row r="372" spans="1:17" s="26" customFormat="1" ht="52.5" customHeight="1" x14ac:dyDescent="0.2">
      <c r="A372" s="23" t="s">
        <v>64</v>
      </c>
      <c r="B372" s="31">
        <v>913</v>
      </c>
      <c r="C372" s="24" t="s">
        <v>41</v>
      </c>
      <c r="D372" s="24" t="s">
        <v>17</v>
      </c>
      <c r="E372" s="24" t="s">
        <v>332</v>
      </c>
      <c r="F372" s="27" t="s">
        <v>65</v>
      </c>
      <c r="G372" s="25">
        <v>19694.7</v>
      </c>
      <c r="H372" s="25">
        <v>19692.7</v>
      </c>
      <c r="I372" s="25">
        <v>19692.7</v>
      </c>
      <c r="J372" s="101"/>
      <c r="K372" s="101"/>
      <c r="L372" s="101"/>
      <c r="M372" s="101"/>
      <c r="N372" s="101"/>
      <c r="O372" s="101"/>
      <c r="P372" s="101"/>
      <c r="Q372" s="101"/>
    </row>
    <row r="373" spans="1:17" s="26" customFormat="1" ht="25.5" x14ac:dyDescent="0.2">
      <c r="A373" s="28" t="s">
        <v>74</v>
      </c>
      <c r="B373" s="31">
        <v>913</v>
      </c>
      <c r="C373" s="24" t="s">
        <v>41</v>
      </c>
      <c r="D373" s="24" t="s">
        <v>17</v>
      </c>
      <c r="E373" s="24" t="s">
        <v>332</v>
      </c>
      <c r="F373" s="27" t="s">
        <v>66</v>
      </c>
      <c r="G373" s="25">
        <v>519.6</v>
      </c>
      <c r="H373" s="25">
        <v>61.1</v>
      </c>
      <c r="I373" s="25">
        <v>61.1</v>
      </c>
      <c r="J373" s="101"/>
      <c r="K373" s="101"/>
      <c r="L373" s="101"/>
      <c r="M373" s="101"/>
      <c r="N373" s="101"/>
      <c r="O373" s="101"/>
      <c r="P373" s="101"/>
      <c r="Q373" s="101"/>
    </row>
    <row r="374" spans="1:17" s="3" customFormat="1" x14ac:dyDescent="0.2">
      <c r="A374" s="13" t="s">
        <v>50</v>
      </c>
      <c r="B374" s="41">
        <v>913</v>
      </c>
      <c r="C374" s="1"/>
      <c r="D374" s="1"/>
      <c r="E374" s="1"/>
      <c r="F374" s="1"/>
      <c r="G374" s="2">
        <f>G375</f>
        <v>232</v>
      </c>
      <c r="H374" s="2">
        <f>H375</f>
        <v>232</v>
      </c>
      <c r="I374" s="2">
        <f>I375</f>
        <v>232</v>
      </c>
    </row>
    <row r="375" spans="1:17" s="9" customFormat="1" x14ac:dyDescent="0.2">
      <c r="A375" s="11" t="s">
        <v>53</v>
      </c>
      <c r="B375" s="14">
        <v>913</v>
      </c>
      <c r="C375" s="8" t="s">
        <v>49</v>
      </c>
      <c r="D375" s="8" t="s">
        <v>15</v>
      </c>
      <c r="E375" s="8"/>
      <c r="F375" s="8"/>
      <c r="G375" s="4">
        <f>SUM(G376)</f>
        <v>232</v>
      </c>
      <c r="H375" s="4">
        <f>SUM(H376)</f>
        <v>232</v>
      </c>
      <c r="I375" s="4">
        <f>SUM(I376)</f>
        <v>232</v>
      </c>
    </row>
    <row r="376" spans="1:17" s="21" customFormat="1" ht="25.5" customHeight="1" x14ac:dyDescent="0.2">
      <c r="A376" s="18" t="s">
        <v>294</v>
      </c>
      <c r="B376" s="22">
        <v>913</v>
      </c>
      <c r="C376" s="19">
        <v>10</v>
      </c>
      <c r="D376" s="19" t="s">
        <v>15</v>
      </c>
      <c r="E376" s="19" t="s">
        <v>82</v>
      </c>
      <c r="F376" s="19"/>
      <c r="G376" s="20">
        <f>G377</f>
        <v>232</v>
      </c>
      <c r="H376" s="20">
        <f>H377</f>
        <v>232</v>
      </c>
      <c r="I376" s="20">
        <f>I377</f>
        <v>232</v>
      </c>
    </row>
    <row r="377" spans="1:17" s="26" customFormat="1" x14ac:dyDescent="0.2">
      <c r="A377" s="51" t="s">
        <v>67</v>
      </c>
      <c r="B377" s="31">
        <v>913</v>
      </c>
      <c r="C377" s="24">
        <v>10</v>
      </c>
      <c r="D377" s="24" t="s">
        <v>15</v>
      </c>
      <c r="E377" s="24" t="s">
        <v>82</v>
      </c>
      <c r="F377" s="24" t="s">
        <v>68</v>
      </c>
      <c r="G377" s="25">
        <f>232</f>
        <v>232</v>
      </c>
      <c r="H377" s="25">
        <f>232</f>
        <v>232</v>
      </c>
      <c r="I377" s="25">
        <f>232</f>
        <v>232</v>
      </c>
    </row>
    <row r="378" spans="1:17" s="9" customFormat="1" ht="33" customHeight="1" x14ac:dyDescent="0.2">
      <c r="A378" s="39" t="s">
        <v>47</v>
      </c>
      <c r="B378" s="36">
        <v>915</v>
      </c>
      <c r="C378" s="40"/>
      <c r="D378" s="40"/>
      <c r="E378" s="40"/>
      <c r="F378" s="40"/>
      <c r="G378" s="38">
        <f>G386+G379</f>
        <v>351795.30000000005</v>
      </c>
      <c r="H378" s="38">
        <f t="shared" ref="H378:I378" si="90">H386+H379</f>
        <v>349777.1</v>
      </c>
      <c r="I378" s="38">
        <f t="shared" si="90"/>
        <v>354017.1</v>
      </c>
    </row>
    <row r="379" spans="1:17" s="3" customFormat="1" x14ac:dyDescent="0.2">
      <c r="A379" s="13" t="s">
        <v>35</v>
      </c>
      <c r="B379" s="41">
        <v>915</v>
      </c>
      <c r="C379" s="1" t="s">
        <v>18</v>
      </c>
      <c r="D379" s="1"/>
      <c r="E379" s="1"/>
      <c r="F379" s="1"/>
      <c r="G379" s="2">
        <f t="shared" ref="G379:I384" si="91">G380</f>
        <v>251.6</v>
      </c>
      <c r="H379" s="2">
        <f t="shared" si="91"/>
        <v>219.6</v>
      </c>
      <c r="I379" s="2">
        <f t="shared" si="91"/>
        <v>219.6</v>
      </c>
    </row>
    <row r="380" spans="1:17" s="21" customFormat="1" x14ac:dyDescent="0.2">
      <c r="A380" s="11" t="s">
        <v>38</v>
      </c>
      <c r="B380" s="11">
        <v>915</v>
      </c>
      <c r="C380" s="8" t="s">
        <v>18</v>
      </c>
      <c r="D380" s="8" t="s">
        <v>18</v>
      </c>
      <c r="E380" s="8"/>
      <c r="F380" s="8"/>
      <c r="G380" s="4">
        <f>G384+G381</f>
        <v>251.6</v>
      </c>
      <c r="H380" s="4">
        <f t="shared" ref="H380:I380" si="92">H384+H381</f>
        <v>219.6</v>
      </c>
      <c r="I380" s="4">
        <f t="shared" si="92"/>
        <v>219.6</v>
      </c>
    </row>
    <row r="381" spans="1:17" ht="25.5" x14ac:dyDescent="0.2">
      <c r="A381" s="18" t="s">
        <v>556</v>
      </c>
      <c r="B381" s="22">
        <v>915</v>
      </c>
      <c r="C381" s="19" t="s">
        <v>18</v>
      </c>
      <c r="D381" s="19" t="s">
        <v>18</v>
      </c>
      <c r="E381" s="19" t="s">
        <v>555</v>
      </c>
      <c r="F381" s="19"/>
      <c r="G381" s="20">
        <f>G383+G382</f>
        <v>32</v>
      </c>
      <c r="H381" s="20">
        <f t="shared" ref="H381:I381" si="93">H383+H382</f>
        <v>0</v>
      </c>
      <c r="I381" s="20">
        <f t="shared" si="93"/>
        <v>0</v>
      </c>
      <c r="J381" s="100"/>
      <c r="K381" s="100"/>
      <c r="L381" s="100"/>
      <c r="M381" s="100"/>
      <c r="N381" s="100"/>
      <c r="O381" s="100"/>
      <c r="P381" s="100"/>
      <c r="Q381" s="100"/>
    </row>
    <row r="382" spans="1:17" s="26" customFormat="1" ht="25.5" x14ac:dyDescent="0.2">
      <c r="A382" s="28" t="s">
        <v>74</v>
      </c>
      <c r="B382" s="31">
        <v>915</v>
      </c>
      <c r="C382" s="24" t="s">
        <v>18</v>
      </c>
      <c r="D382" s="24" t="s">
        <v>18</v>
      </c>
      <c r="E382" s="24" t="s">
        <v>555</v>
      </c>
      <c r="F382" s="27" t="s">
        <v>65</v>
      </c>
      <c r="G382" s="25">
        <v>19.33426</v>
      </c>
      <c r="H382" s="25"/>
      <c r="I382" s="25"/>
      <c r="J382" s="101"/>
      <c r="K382" s="101"/>
      <c r="L382" s="101"/>
      <c r="M382" s="101"/>
      <c r="N382" s="101"/>
      <c r="O382" s="101"/>
      <c r="P382" s="101"/>
      <c r="Q382" s="101"/>
    </row>
    <row r="383" spans="1:17" s="26" customFormat="1" ht="25.5" x14ac:dyDescent="0.2">
      <c r="A383" s="28" t="s">
        <v>74</v>
      </c>
      <c r="B383" s="31">
        <v>915</v>
      </c>
      <c r="C383" s="24" t="s">
        <v>18</v>
      </c>
      <c r="D383" s="24" t="s">
        <v>18</v>
      </c>
      <c r="E383" s="24" t="s">
        <v>555</v>
      </c>
      <c r="F383" s="27" t="s">
        <v>66</v>
      </c>
      <c r="G383" s="25">
        <v>12.66574</v>
      </c>
      <c r="H383" s="25"/>
      <c r="I383" s="25"/>
      <c r="J383" s="101"/>
      <c r="K383" s="101"/>
      <c r="L383" s="101"/>
      <c r="M383" s="101"/>
      <c r="N383" s="101"/>
      <c r="O383" s="101"/>
      <c r="P383" s="101"/>
      <c r="Q383" s="101"/>
    </row>
    <row r="384" spans="1:17" ht="25.5" x14ac:dyDescent="0.2">
      <c r="A384" s="18" t="s">
        <v>226</v>
      </c>
      <c r="B384" s="18">
        <v>915</v>
      </c>
      <c r="C384" s="19" t="s">
        <v>18</v>
      </c>
      <c r="D384" s="19" t="s">
        <v>18</v>
      </c>
      <c r="E384" s="19" t="s">
        <v>118</v>
      </c>
      <c r="F384" s="19"/>
      <c r="G384" s="20">
        <f t="shared" si="91"/>
        <v>219.6</v>
      </c>
      <c r="H384" s="20">
        <f t="shared" si="91"/>
        <v>219.6</v>
      </c>
      <c r="I384" s="20">
        <f t="shared" si="91"/>
        <v>219.6</v>
      </c>
      <c r="J384" s="100"/>
      <c r="K384" s="100"/>
      <c r="L384" s="100"/>
      <c r="M384" s="100"/>
      <c r="N384" s="100"/>
      <c r="O384" s="100"/>
      <c r="P384" s="100"/>
      <c r="Q384" s="100"/>
    </row>
    <row r="385" spans="1:17" ht="51" customHeight="1" x14ac:dyDescent="0.2">
      <c r="A385" s="23" t="s">
        <v>64</v>
      </c>
      <c r="B385" s="23">
        <v>915</v>
      </c>
      <c r="C385" s="24" t="s">
        <v>18</v>
      </c>
      <c r="D385" s="24" t="s">
        <v>18</v>
      </c>
      <c r="E385" s="24" t="s">
        <v>118</v>
      </c>
      <c r="F385" s="27" t="s">
        <v>65</v>
      </c>
      <c r="G385" s="25">
        <v>219.6</v>
      </c>
      <c r="H385" s="25">
        <v>219.6</v>
      </c>
      <c r="I385" s="25">
        <v>219.6</v>
      </c>
      <c r="J385" s="100"/>
      <c r="K385" s="100"/>
      <c r="L385" s="100"/>
      <c r="M385" s="100"/>
      <c r="N385" s="100"/>
      <c r="O385" s="100"/>
      <c r="P385" s="100"/>
      <c r="Q385" s="100"/>
    </row>
    <row r="386" spans="1:17" s="88" customFormat="1" x14ac:dyDescent="0.2">
      <c r="A386" s="87" t="s">
        <v>50</v>
      </c>
      <c r="B386" s="56">
        <v>915</v>
      </c>
      <c r="C386" s="57" t="s">
        <v>49</v>
      </c>
      <c r="D386" s="57"/>
      <c r="E386" s="57"/>
      <c r="F386" s="57"/>
      <c r="G386" s="60">
        <f>G387+G391+G403+G421+G428</f>
        <v>351543.70000000007</v>
      </c>
      <c r="H386" s="60">
        <f t="shared" ref="H386:I386" si="94">H387+H391+H403+H421+H428</f>
        <v>349557.5</v>
      </c>
      <c r="I386" s="60">
        <f t="shared" si="94"/>
        <v>353797.5</v>
      </c>
    </row>
    <row r="387" spans="1:17" s="66" customFormat="1" x14ac:dyDescent="0.2">
      <c r="A387" s="62" t="s">
        <v>51</v>
      </c>
      <c r="B387" s="63">
        <v>915</v>
      </c>
      <c r="C387" s="64" t="s">
        <v>49</v>
      </c>
      <c r="D387" s="64" t="s">
        <v>11</v>
      </c>
      <c r="E387" s="64"/>
      <c r="F387" s="64"/>
      <c r="G387" s="65">
        <f>G388</f>
        <v>9482</v>
      </c>
      <c r="H387" s="65">
        <f>H388</f>
        <v>9482</v>
      </c>
      <c r="I387" s="65">
        <f>I388</f>
        <v>9482</v>
      </c>
    </row>
    <row r="388" spans="1:17" s="71" customFormat="1" ht="75" customHeight="1" x14ac:dyDescent="0.2">
      <c r="A388" s="67" t="s">
        <v>227</v>
      </c>
      <c r="B388" s="68">
        <v>915</v>
      </c>
      <c r="C388" s="69" t="s">
        <v>49</v>
      </c>
      <c r="D388" s="69" t="s">
        <v>11</v>
      </c>
      <c r="E388" s="69" t="s">
        <v>228</v>
      </c>
      <c r="F388" s="69"/>
      <c r="G388" s="70">
        <f>G390+G389</f>
        <v>9482</v>
      </c>
      <c r="H388" s="70">
        <f>H390+H389</f>
        <v>9482</v>
      </c>
      <c r="I388" s="70">
        <f>I390+I389</f>
        <v>9482</v>
      </c>
    </row>
    <row r="389" spans="1:17" s="71" customFormat="1" ht="24.75" customHeight="1" x14ac:dyDescent="0.2">
      <c r="A389" s="79" t="s">
        <v>74</v>
      </c>
      <c r="B389" s="77">
        <v>915</v>
      </c>
      <c r="C389" s="74" t="s">
        <v>49</v>
      </c>
      <c r="D389" s="74" t="s">
        <v>11</v>
      </c>
      <c r="E389" s="74" t="s">
        <v>228</v>
      </c>
      <c r="F389" s="75" t="s">
        <v>66</v>
      </c>
      <c r="G389" s="54">
        <v>47.2</v>
      </c>
      <c r="H389" s="54">
        <v>47.2</v>
      </c>
      <c r="I389" s="54">
        <v>47.2</v>
      </c>
    </row>
    <row r="390" spans="1:17" s="26" customFormat="1" x14ac:dyDescent="0.2">
      <c r="A390" s="28" t="s">
        <v>67</v>
      </c>
      <c r="B390" s="31">
        <v>915</v>
      </c>
      <c r="C390" s="24" t="s">
        <v>49</v>
      </c>
      <c r="D390" s="24" t="s">
        <v>11</v>
      </c>
      <c r="E390" s="24" t="s">
        <v>228</v>
      </c>
      <c r="F390" s="24" t="s">
        <v>68</v>
      </c>
      <c r="G390" s="25">
        <v>9434.7999999999993</v>
      </c>
      <c r="H390" s="25">
        <v>9434.7999999999993</v>
      </c>
      <c r="I390" s="25">
        <v>9434.7999999999993</v>
      </c>
      <c r="J390" s="101"/>
      <c r="K390" s="101"/>
      <c r="L390" s="101"/>
      <c r="M390" s="101"/>
      <c r="N390" s="101"/>
      <c r="O390" s="101"/>
      <c r="P390" s="101"/>
      <c r="Q390" s="101"/>
    </row>
    <row r="391" spans="1:17" s="66" customFormat="1" x14ac:dyDescent="0.2">
      <c r="A391" s="62" t="s">
        <v>52</v>
      </c>
      <c r="B391" s="63">
        <v>915</v>
      </c>
      <c r="C391" s="64" t="s">
        <v>49</v>
      </c>
      <c r="D391" s="64" t="s">
        <v>13</v>
      </c>
      <c r="E391" s="64"/>
      <c r="F391" s="64"/>
      <c r="G391" s="65">
        <f>G392+G394+G401+G398</f>
        <v>180781.7</v>
      </c>
      <c r="H391" s="65">
        <f>H392+H394+H401+H398</f>
        <v>180737</v>
      </c>
      <c r="I391" s="65">
        <f>I392+I394+I401+I398</f>
        <v>180737</v>
      </c>
    </row>
    <row r="392" spans="1:17" ht="51" x14ac:dyDescent="0.2">
      <c r="A392" s="18" t="s">
        <v>229</v>
      </c>
      <c r="B392" s="22">
        <v>915</v>
      </c>
      <c r="C392" s="19" t="s">
        <v>49</v>
      </c>
      <c r="D392" s="19" t="s">
        <v>13</v>
      </c>
      <c r="E392" s="19" t="s">
        <v>92</v>
      </c>
      <c r="F392" s="19"/>
      <c r="G392" s="20">
        <f>G393</f>
        <v>130196.4</v>
      </c>
      <c r="H392" s="20">
        <f>H393</f>
        <v>130196.4</v>
      </c>
      <c r="I392" s="20">
        <f>I393</f>
        <v>130196.4</v>
      </c>
      <c r="J392" s="100"/>
      <c r="K392" s="100"/>
      <c r="L392" s="100"/>
      <c r="M392" s="100"/>
      <c r="N392" s="100"/>
      <c r="O392" s="100"/>
      <c r="P392" s="100"/>
      <c r="Q392" s="100"/>
    </row>
    <row r="393" spans="1:17" s="26" customFormat="1" ht="25.5" x14ac:dyDescent="0.2">
      <c r="A393" s="28" t="s">
        <v>119</v>
      </c>
      <c r="B393" s="31">
        <v>915</v>
      </c>
      <c r="C393" s="24" t="s">
        <v>49</v>
      </c>
      <c r="D393" s="24" t="s">
        <v>13</v>
      </c>
      <c r="E393" s="24" t="s">
        <v>93</v>
      </c>
      <c r="F393" s="24" t="s">
        <v>63</v>
      </c>
      <c r="G393" s="25">
        <v>130196.4</v>
      </c>
      <c r="H393" s="25">
        <v>130196.4</v>
      </c>
      <c r="I393" s="25">
        <v>130196.4</v>
      </c>
      <c r="J393" s="101"/>
      <c r="K393" s="101"/>
      <c r="L393" s="101"/>
      <c r="M393" s="101"/>
      <c r="N393" s="101"/>
      <c r="O393" s="101"/>
      <c r="P393" s="101"/>
      <c r="Q393" s="101"/>
    </row>
    <row r="394" spans="1:17" ht="62.25" customHeight="1" x14ac:dyDescent="0.2">
      <c r="A394" s="18" t="s">
        <v>230</v>
      </c>
      <c r="B394" s="22">
        <v>915</v>
      </c>
      <c r="C394" s="19" t="s">
        <v>49</v>
      </c>
      <c r="D394" s="19" t="s">
        <v>13</v>
      </c>
      <c r="E394" s="19" t="s">
        <v>95</v>
      </c>
      <c r="F394" s="19"/>
      <c r="G394" s="20">
        <f>G395+G397+G396</f>
        <v>50530.600000000006</v>
      </c>
      <c r="H394" s="20">
        <f t="shared" ref="H394:Q394" si="95">H395+H397+H396</f>
        <v>50530.600000000006</v>
      </c>
      <c r="I394" s="20">
        <f t="shared" si="95"/>
        <v>50530.600000000006</v>
      </c>
      <c r="J394" s="190">
        <f t="shared" si="95"/>
        <v>0</v>
      </c>
      <c r="K394" s="190">
        <f t="shared" si="95"/>
        <v>0</v>
      </c>
      <c r="L394" s="190">
        <f t="shared" si="95"/>
        <v>0</v>
      </c>
      <c r="M394" s="190">
        <f t="shared" si="95"/>
        <v>0</v>
      </c>
      <c r="N394" s="190">
        <f t="shared" si="95"/>
        <v>0</v>
      </c>
      <c r="O394" s="190">
        <f t="shared" si="95"/>
        <v>0</v>
      </c>
      <c r="P394" s="190">
        <f t="shared" si="95"/>
        <v>0</v>
      </c>
      <c r="Q394" s="190">
        <f t="shared" si="95"/>
        <v>0</v>
      </c>
    </row>
    <row r="395" spans="1:17" s="26" customFormat="1" ht="54" customHeight="1" x14ac:dyDescent="0.2">
      <c r="A395" s="23" t="s">
        <v>64</v>
      </c>
      <c r="B395" s="31">
        <v>915</v>
      </c>
      <c r="C395" s="24" t="s">
        <v>49</v>
      </c>
      <c r="D395" s="24" t="s">
        <v>13</v>
      </c>
      <c r="E395" s="24" t="s">
        <v>95</v>
      </c>
      <c r="F395" s="27" t="s">
        <v>65</v>
      </c>
      <c r="G395" s="25">
        <v>44230.3</v>
      </c>
      <c r="H395" s="25">
        <v>44230.3</v>
      </c>
      <c r="I395" s="25">
        <v>44230.3</v>
      </c>
      <c r="J395" s="101"/>
      <c r="K395" s="101"/>
      <c r="L395" s="101"/>
      <c r="M395" s="101"/>
      <c r="N395" s="101"/>
      <c r="O395" s="101"/>
      <c r="P395" s="101"/>
      <c r="Q395" s="101"/>
    </row>
    <row r="396" spans="1:17" s="26" customFormat="1" ht="25.5" x14ac:dyDescent="0.2">
      <c r="A396" s="28" t="s">
        <v>74</v>
      </c>
      <c r="B396" s="31">
        <v>915</v>
      </c>
      <c r="C396" s="24" t="s">
        <v>49</v>
      </c>
      <c r="D396" s="24" t="s">
        <v>13</v>
      </c>
      <c r="E396" s="24" t="s">
        <v>95</v>
      </c>
      <c r="F396" s="27" t="s">
        <v>66</v>
      </c>
      <c r="G396" s="25">
        <f>195.5+5809.8</f>
        <v>6005.3</v>
      </c>
      <c r="H396" s="25">
        <f>195.5+5809.8</f>
        <v>6005.3</v>
      </c>
      <c r="I396" s="25">
        <f>195.5+5809.8</f>
        <v>6005.3</v>
      </c>
      <c r="J396" s="101"/>
      <c r="K396" s="101"/>
      <c r="L396" s="101"/>
      <c r="M396" s="101"/>
      <c r="N396" s="101"/>
      <c r="O396" s="101"/>
      <c r="P396" s="101"/>
      <c r="Q396" s="101"/>
    </row>
    <row r="397" spans="1:17" s="76" customFormat="1" x14ac:dyDescent="0.2">
      <c r="A397" s="79" t="s">
        <v>70</v>
      </c>
      <c r="B397" s="78">
        <v>915</v>
      </c>
      <c r="C397" s="74" t="s">
        <v>49</v>
      </c>
      <c r="D397" s="74" t="s">
        <v>13</v>
      </c>
      <c r="E397" s="74" t="s">
        <v>95</v>
      </c>
      <c r="F397" s="74" t="s">
        <v>71</v>
      </c>
      <c r="G397" s="54">
        <v>295</v>
      </c>
      <c r="H397" s="54">
        <v>295</v>
      </c>
      <c r="I397" s="54">
        <v>295</v>
      </c>
    </row>
    <row r="398" spans="1:17" s="26" customFormat="1" ht="25.5" x14ac:dyDescent="0.2">
      <c r="A398" s="18" t="s">
        <v>231</v>
      </c>
      <c r="B398" s="22">
        <v>915</v>
      </c>
      <c r="C398" s="19" t="s">
        <v>49</v>
      </c>
      <c r="D398" s="19" t="s">
        <v>13</v>
      </c>
      <c r="E398" s="19" t="s">
        <v>277</v>
      </c>
      <c r="F398" s="19"/>
      <c r="G398" s="25">
        <f>G400+G399</f>
        <v>44.7</v>
      </c>
      <c r="H398" s="25">
        <f t="shared" ref="H398:Q398" si="96">H400+H399</f>
        <v>0</v>
      </c>
      <c r="I398" s="25">
        <f t="shared" si="96"/>
        <v>0</v>
      </c>
      <c r="J398" s="189">
        <f t="shared" si="96"/>
        <v>0</v>
      </c>
      <c r="K398" s="189">
        <f t="shared" si="96"/>
        <v>0</v>
      </c>
      <c r="L398" s="189">
        <f t="shared" si="96"/>
        <v>0</v>
      </c>
      <c r="M398" s="189">
        <f t="shared" si="96"/>
        <v>0</v>
      </c>
      <c r="N398" s="189">
        <f t="shared" si="96"/>
        <v>0</v>
      </c>
      <c r="O398" s="189">
        <f t="shared" si="96"/>
        <v>0</v>
      </c>
      <c r="P398" s="189">
        <f t="shared" si="96"/>
        <v>0</v>
      </c>
      <c r="Q398" s="189">
        <f t="shared" si="96"/>
        <v>0</v>
      </c>
    </row>
    <row r="399" spans="1:17" s="26" customFormat="1" ht="63.75" x14ac:dyDescent="0.2">
      <c r="A399" s="23" t="s">
        <v>64</v>
      </c>
      <c r="B399" s="31">
        <v>915</v>
      </c>
      <c r="C399" s="24" t="s">
        <v>49</v>
      </c>
      <c r="D399" s="24" t="s">
        <v>13</v>
      </c>
      <c r="E399" s="24" t="s">
        <v>277</v>
      </c>
      <c r="F399" s="19" t="s">
        <v>65</v>
      </c>
      <c r="G399" s="25">
        <v>20.399999999999999</v>
      </c>
      <c r="H399" s="25">
        <v>0</v>
      </c>
      <c r="I399" s="25">
        <v>0</v>
      </c>
      <c r="J399" s="101"/>
      <c r="K399" s="101"/>
      <c r="L399" s="101"/>
      <c r="M399" s="101"/>
      <c r="N399" s="101"/>
      <c r="O399" s="101"/>
      <c r="P399" s="101"/>
      <c r="Q399" s="101"/>
    </row>
    <row r="400" spans="1:17" s="26" customFormat="1" ht="25.5" x14ac:dyDescent="0.2">
      <c r="A400" s="28" t="s">
        <v>74</v>
      </c>
      <c r="B400" s="31">
        <v>915</v>
      </c>
      <c r="C400" s="24" t="s">
        <v>49</v>
      </c>
      <c r="D400" s="24" t="s">
        <v>13</v>
      </c>
      <c r="E400" s="24" t="s">
        <v>277</v>
      </c>
      <c r="F400" s="27" t="s">
        <v>66</v>
      </c>
      <c r="G400" s="25">
        <f>24.3</f>
        <v>24.3</v>
      </c>
      <c r="H400" s="25">
        <v>0</v>
      </c>
      <c r="I400" s="25">
        <v>0</v>
      </c>
      <c r="J400" s="101"/>
      <c r="K400" s="101"/>
      <c r="L400" s="101"/>
      <c r="M400" s="101"/>
      <c r="N400" s="101"/>
      <c r="O400" s="101"/>
      <c r="P400" s="101"/>
      <c r="Q400" s="101"/>
    </row>
    <row r="401" spans="1:17" s="21" customFormat="1" ht="75" customHeight="1" x14ac:dyDescent="0.2">
      <c r="A401" s="18" t="s">
        <v>232</v>
      </c>
      <c r="B401" s="22">
        <v>915</v>
      </c>
      <c r="C401" s="19" t="s">
        <v>49</v>
      </c>
      <c r="D401" s="19" t="s">
        <v>13</v>
      </c>
      <c r="E401" s="19" t="s">
        <v>99</v>
      </c>
      <c r="F401" s="19"/>
      <c r="G401" s="20">
        <f>G402</f>
        <v>10</v>
      </c>
      <c r="H401" s="20">
        <f>H402</f>
        <v>10</v>
      </c>
      <c r="I401" s="20">
        <f>I402</f>
        <v>10</v>
      </c>
    </row>
    <row r="402" spans="1:17" s="76" customFormat="1" ht="50.25" customHeight="1" x14ac:dyDescent="0.2">
      <c r="A402" s="72" t="s">
        <v>64</v>
      </c>
      <c r="B402" s="78">
        <v>915</v>
      </c>
      <c r="C402" s="74" t="s">
        <v>49</v>
      </c>
      <c r="D402" s="74" t="s">
        <v>13</v>
      </c>
      <c r="E402" s="74" t="s">
        <v>99</v>
      </c>
      <c r="F402" s="74" t="s">
        <v>65</v>
      </c>
      <c r="G402" s="54">
        <v>10</v>
      </c>
      <c r="H402" s="54">
        <v>10</v>
      </c>
      <c r="I402" s="54">
        <v>10</v>
      </c>
    </row>
    <row r="403" spans="1:17" s="66" customFormat="1" x14ac:dyDescent="0.2">
      <c r="A403" s="62" t="s">
        <v>53</v>
      </c>
      <c r="B403" s="63">
        <v>915</v>
      </c>
      <c r="C403" s="64" t="s">
        <v>49</v>
      </c>
      <c r="D403" s="64" t="s">
        <v>15</v>
      </c>
      <c r="E403" s="64"/>
      <c r="F403" s="64"/>
      <c r="G403" s="65">
        <f>G406+G408+G410+G412+G404+G414+G417</f>
        <v>5124.6000000000004</v>
      </c>
      <c r="H403" s="65">
        <f t="shared" ref="H403:I403" si="97">H406+H408+H410+H412+H404+H414+H417</f>
        <v>5124.6000000000004</v>
      </c>
      <c r="I403" s="65">
        <f t="shared" si="97"/>
        <v>5124.6000000000004</v>
      </c>
    </row>
    <row r="404" spans="1:17" s="21" customFormat="1" ht="51" customHeight="1" x14ac:dyDescent="0.2">
      <c r="A404" s="18" t="s">
        <v>216</v>
      </c>
      <c r="B404" s="22">
        <v>915</v>
      </c>
      <c r="C404" s="19" t="s">
        <v>49</v>
      </c>
      <c r="D404" s="19" t="s">
        <v>15</v>
      </c>
      <c r="E404" s="19" t="s">
        <v>346</v>
      </c>
      <c r="F404" s="19"/>
      <c r="G404" s="20">
        <f>G405</f>
        <v>42.5</v>
      </c>
      <c r="H404" s="20">
        <f t="shared" ref="H404:I404" si="98">H405</f>
        <v>42.5</v>
      </c>
      <c r="I404" s="20">
        <f t="shared" si="98"/>
        <v>42.5</v>
      </c>
    </row>
    <row r="405" spans="1:17" s="26" customFormat="1" x14ac:dyDescent="0.2">
      <c r="A405" s="28" t="s">
        <v>67</v>
      </c>
      <c r="B405" s="31">
        <v>915</v>
      </c>
      <c r="C405" s="24" t="s">
        <v>49</v>
      </c>
      <c r="D405" s="24" t="s">
        <v>15</v>
      </c>
      <c r="E405" s="24" t="s">
        <v>346</v>
      </c>
      <c r="F405" s="24" t="s">
        <v>68</v>
      </c>
      <c r="G405" s="25">
        <v>42.5</v>
      </c>
      <c r="H405" s="25">
        <v>42.5</v>
      </c>
      <c r="I405" s="25">
        <v>42.5</v>
      </c>
      <c r="J405" s="101"/>
      <c r="K405" s="101"/>
      <c r="L405" s="101"/>
      <c r="M405" s="101"/>
      <c r="N405" s="101"/>
      <c r="O405" s="101"/>
      <c r="P405" s="101"/>
      <c r="Q405" s="101"/>
    </row>
    <row r="406" spans="1:17" s="21" customFormat="1" ht="63.75" x14ac:dyDescent="0.2">
      <c r="A406" s="18" t="s">
        <v>150</v>
      </c>
      <c r="B406" s="22">
        <v>915</v>
      </c>
      <c r="C406" s="19" t="s">
        <v>49</v>
      </c>
      <c r="D406" s="19" t="s">
        <v>15</v>
      </c>
      <c r="E406" s="19" t="s">
        <v>88</v>
      </c>
      <c r="F406" s="19"/>
      <c r="G406" s="20">
        <f>G407</f>
        <v>2070</v>
      </c>
      <c r="H406" s="20">
        <f t="shared" ref="H406:I406" si="99">H407</f>
        <v>2070</v>
      </c>
      <c r="I406" s="20">
        <f t="shared" si="99"/>
        <v>2070</v>
      </c>
    </row>
    <row r="407" spans="1:17" s="26" customFormat="1" x14ac:dyDescent="0.2">
      <c r="A407" s="28" t="s">
        <v>67</v>
      </c>
      <c r="B407" s="31">
        <v>915</v>
      </c>
      <c r="C407" s="24" t="s">
        <v>49</v>
      </c>
      <c r="D407" s="24" t="s">
        <v>15</v>
      </c>
      <c r="E407" s="24" t="s">
        <v>88</v>
      </c>
      <c r="F407" s="24" t="s">
        <v>68</v>
      </c>
      <c r="G407" s="25">
        <v>2070</v>
      </c>
      <c r="H407" s="25">
        <v>2070</v>
      </c>
      <c r="I407" s="25">
        <v>2070</v>
      </c>
      <c r="J407" s="101"/>
      <c r="K407" s="101"/>
      <c r="L407" s="101"/>
      <c r="M407" s="101"/>
      <c r="N407" s="101"/>
      <c r="O407" s="101"/>
      <c r="P407" s="101"/>
      <c r="Q407" s="101"/>
    </row>
    <row r="408" spans="1:17" s="21" customFormat="1" ht="140.25" x14ac:dyDescent="0.2">
      <c r="A408" s="18" t="s">
        <v>276</v>
      </c>
      <c r="B408" s="22">
        <v>915</v>
      </c>
      <c r="C408" s="19" t="s">
        <v>49</v>
      </c>
      <c r="D408" s="19" t="s">
        <v>15</v>
      </c>
      <c r="E408" s="19" t="s">
        <v>89</v>
      </c>
      <c r="F408" s="19"/>
      <c r="G408" s="20">
        <f>G409</f>
        <v>36</v>
      </c>
      <c r="H408" s="20">
        <f t="shared" ref="H408:I408" si="100">H409</f>
        <v>36</v>
      </c>
      <c r="I408" s="20">
        <f t="shared" si="100"/>
        <v>36</v>
      </c>
    </row>
    <row r="409" spans="1:17" s="76" customFormat="1" x14ac:dyDescent="0.2">
      <c r="A409" s="79" t="s">
        <v>67</v>
      </c>
      <c r="B409" s="78">
        <v>915</v>
      </c>
      <c r="C409" s="74" t="s">
        <v>49</v>
      </c>
      <c r="D409" s="74" t="s">
        <v>15</v>
      </c>
      <c r="E409" s="74" t="s">
        <v>89</v>
      </c>
      <c r="F409" s="74" t="s">
        <v>68</v>
      </c>
      <c r="G409" s="54">
        <v>36</v>
      </c>
      <c r="H409" s="54">
        <v>36</v>
      </c>
      <c r="I409" s="54">
        <v>36</v>
      </c>
    </row>
    <row r="410" spans="1:17" s="21" customFormat="1" ht="76.5" customHeight="1" x14ac:dyDescent="0.2">
      <c r="A410" s="18" t="s">
        <v>347</v>
      </c>
      <c r="B410" s="22">
        <v>915</v>
      </c>
      <c r="C410" s="19" t="s">
        <v>49</v>
      </c>
      <c r="D410" s="19" t="s">
        <v>15</v>
      </c>
      <c r="E410" s="19" t="s">
        <v>90</v>
      </c>
      <c r="F410" s="19"/>
      <c r="G410" s="20">
        <f>G411</f>
        <v>260</v>
      </c>
      <c r="H410" s="20">
        <f t="shared" ref="H410:I410" si="101">H411</f>
        <v>260</v>
      </c>
      <c r="I410" s="20">
        <f t="shared" si="101"/>
        <v>260</v>
      </c>
    </row>
    <row r="411" spans="1:17" s="76" customFormat="1" x14ac:dyDescent="0.2">
      <c r="A411" s="79" t="s">
        <v>67</v>
      </c>
      <c r="B411" s="78">
        <v>915</v>
      </c>
      <c r="C411" s="74" t="s">
        <v>49</v>
      </c>
      <c r="D411" s="74" t="s">
        <v>15</v>
      </c>
      <c r="E411" s="74" t="s">
        <v>90</v>
      </c>
      <c r="F411" s="74" t="s">
        <v>68</v>
      </c>
      <c r="G411" s="54">
        <v>260</v>
      </c>
      <c r="H411" s="54">
        <v>260</v>
      </c>
      <c r="I411" s="54">
        <v>260</v>
      </c>
    </row>
    <row r="412" spans="1:17" ht="63.75" x14ac:dyDescent="0.2">
      <c r="A412" s="18" t="s">
        <v>151</v>
      </c>
      <c r="B412" s="22">
        <v>915</v>
      </c>
      <c r="C412" s="19" t="s">
        <v>49</v>
      </c>
      <c r="D412" s="19" t="s">
        <v>15</v>
      </c>
      <c r="E412" s="19" t="s">
        <v>91</v>
      </c>
      <c r="F412" s="19"/>
      <c r="G412" s="20">
        <f>G413</f>
        <v>29.1</v>
      </c>
      <c r="H412" s="20">
        <f t="shared" ref="H412:I412" si="102">H413</f>
        <v>29.1</v>
      </c>
      <c r="I412" s="20">
        <f t="shared" si="102"/>
        <v>29.1</v>
      </c>
      <c r="J412" s="100"/>
      <c r="K412" s="100"/>
      <c r="L412" s="100"/>
      <c r="M412" s="100"/>
      <c r="N412" s="100"/>
      <c r="O412" s="100"/>
      <c r="P412" s="100"/>
      <c r="Q412" s="100"/>
    </row>
    <row r="413" spans="1:17" s="26" customFormat="1" x14ac:dyDescent="0.2">
      <c r="A413" s="28" t="s">
        <v>67</v>
      </c>
      <c r="B413" s="31">
        <v>915</v>
      </c>
      <c r="C413" s="24" t="s">
        <v>49</v>
      </c>
      <c r="D413" s="24" t="s">
        <v>15</v>
      </c>
      <c r="E413" s="24" t="s">
        <v>91</v>
      </c>
      <c r="F413" s="24" t="s">
        <v>68</v>
      </c>
      <c r="G413" s="25">
        <v>29.1</v>
      </c>
      <c r="H413" s="25">
        <v>29.1</v>
      </c>
      <c r="I413" s="25">
        <v>29.1</v>
      </c>
      <c r="J413" s="101"/>
      <c r="K413" s="101"/>
      <c r="L413" s="101"/>
      <c r="M413" s="101"/>
      <c r="N413" s="101"/>
      <c r="O413" s="101"/>
      <c r="P413" s="101"/>
      <c r="Q413" s="101"/>
    </row>
    <row r="414" spans="1:17" ht="76.5" x14ac:dyDescent="0.2">
      <c r="A414" s="18" t="s">
        <v>279</v>
      </c>
      <c r="B414" s="22">
        <v>915</v>
      </c>
      <c r="C414" s="19" t="s">
        <v>49</v>
      </c>
      <c r="D414" s="19" t="s">
        <v>15</v>
      </c>
      <c r="E414" s="19" t="s">
        <v>98</v>
      </c>
      <c r="F414" s="19"/>
      <c r="G414" s="20">
        <f>G416+G415</f>
        <v>1216</v>
      </c>
      <c r="H414" s="20">
        <f>H416+H415</f>
        <v>1216</v>
      </c>
      <c r="I414" s="20">
        <f>I416+I415</f>
        <v>1216</v>
      </c>
      <c r="J414" s="100"/>
      <c r="K414" s="100"/>
      <c r="L414" s="100"/>
      <c r="M414" s="100"/>
      <c r="N414" s="100"/>
      <c r="O414" s="100"/>
      <c r="P414" s="100"/>
      <c r="Q414" s="100"/>
    </row>
    <row r="415" spans="1:17" s="26" customFormat="1" ht="25.5" x14ac:dyDescent="0.2">
      <c r="A415" s="28" t="s">
        <v>74</v>
      </c>
      <c r="B415" s="23">
        <v>915</v>
      </c>
      <c r="C415" s="24" t="s">
        <v>49</v>
      </c>
      <c r="D415" s="24" t="s">
        <v>15</v>
      </c>
      <c r="E415" s="24" t="s">
        <v>98</v>
      </c>
      <c r="F415" s="27" t="s">
        <v>66</v>
      </c>
      <c r="G415" s="25">
        <v>6</v>
      </c>
      <c r="H415" s="25">
        <v>6</v>
      </c>
      <c r="I415" s="25">
        <v>6</v>
      </c>
    </row>
    <row r="416" spans="1:17" s="26" customFormat="1" x14ac:dyDescent="0.2">
      <c r="A416" s="28" t="s">
        <v>67</v>
      </c>
      <c r="B416" s="31">
        <v>915</v>
      </c>
      <c r="C416" s="24" t="s">
        <v>49</v>
      </c>
      <c r="D416" s="24" t="s">
        <v>15</v>
      </c>
      <c r="E416" s="24" t="s">
        <v>98</v>
      </c>
      <c r="F416" s="24" t="s">
        <v>68</v>
      </c>
      <c r="G416" s="25">
        <v>1210</v>
      </c>
      <c r="H416" s="25">
        <v>1210</v>
      </c>
      <c r="I416" s="25">
        <v>1210</v>
      </c>
      <c r="J416" s="101"/>
      <c r="K416" s="101"/>
      <c r="L416" s="101"/>
      <c r="M416" s="101"/>
      <c r="N416" s="101"/>
      <c r="O416" s="101"/>
      <c r="P416" s="101"/>
      <c r="Q416" s="101"/>
    </row>
    <row r="417" spans="1:17" ht="76.5" x14ac:dyDescent="0.2">
      <c r="A417" s="18" t="s">
        <v>344</v>
      </c>
      <c r="B417" s="22">
        <v>915</v>
      </c>
      <c r="C417" s="19" t="s">
        <v>49</v>
      </c>
      <c r="D417" s="19" t="s">
        <v>15</v>
      </c>
      <c r="E417" s="19" t="s">
        <v>87</v>
      </c>
      <c r="F417" s="19"/>
      <c r="G417" s="20">
        <f>G419+G418+G420</f>
        <v>1471</v>
      </c>
      <c r="H417" s="20">
        <f t="shared" ref="H417:I417" si="103">H419+H418+H420</f>
        <v>1471</v>
      </c>
      <c r="I417" s="20">
        <f t="shared" si="103"/>
        <v>1471</v>
      </c>
      <c r="J417" s="100"/>
      <c r="K417" s="100"/>
      <c r="L417" s="100"/>
      <c r="M417" s="100"/>
      <c r="N417" s="100"/>
      <c r="O417" s="100"/>
      <c r="P417" s="100"/>
      <c r="Q417" s="100"/>
    </row>
    <row r="418" spans="1:17" s="76" customFormat="1" ht="25.5" x14ac:dyDescent="0.2">
      <c r="A418" s="79" t="s">
        <v>74</v>
      </c>
      <c r="B418" s="77">
        <v>915</v>
      </c>
      <c r="C418" s="74" t="s">
        <v>49</v>
      </c>
      <c r="D418" s="74" t="s">
        <v>15</v>
      </c>
      <c r="E418" s="74" t="s">
        <v>87</v>
      </c>
      <c r="F418" s="75" t="s">
        <v>66</v>
      </c>
      <c r="G418" s="54">
        <v>25</v>
      </c>
      <c r="H418" s="54">
        <v>25</v>
      </c>
      <c r="I418" s="54">
        <v>25</v>
      </c>
    </row>
    <row r="419" spans="1:17" s="26" customFormat="1" x14ac:dyDescent="0.2">
      <c r="A419" s="28" t="s">
        <v>67</v>
      </c>
      <c r="B419" s="31">
        <v>915</v>
      </c>
      <c r="C419" s="24" t="s">
        <v>49</v>
      </c>
      <c r="D419" s="24" t="s">
        <v>15</v>
      </c>
      <c r="E419" s="24" t="s">
        <v>87</v>
      </c>
      <c r="F419" s="24" t="s">
        <v>68</v>
      </c>
      <c r="G419" s="25">
        <v>1276</v>
      </c>
      <c r="H419" s="25">
        <v>1276</v>
      </c>
      <c r="I419" s="25">
        <v>1276</v>
      </c>
      <c r="J419" s="101"/>
      <c r="K419" s="101"/>
      <c r="L419" s="101"/>
      <c r="M419" s="101"/>
      <c r="N419" s="101"/>
      <c r="O419" s="101"/>
      <c r="P419" s="101"/>
      <c r="Q419" s="101"/>
    </row>
    <row r="420" spans="1:17" s="26" customFormat="1" x14ac:dyDescent="0.2">
      <c r="A420" s="28" t="s">
        <v>70</v>
      </c>
      <c r="B420" s="31">
        <v>915</v>
      </c>
      <c r="C420" s="24" t="s">
        <v>49</v>
      </c>
      <c r="D420" s="24" t="s">
        <v>15</v>
      </c>
      <c r="E420" s="19" t="s">
        <v>87</v>
      </c>
      <c r="F420" s="24" t="s">
        <v>71</v>
      </c>
      <c r="G420" s="25">
        <v>170</v>
      </c>
      <c r="H420" s="25">
        <v>170</v>
      </c>
      <c r="I420" s="25">
        <v>170</v>
      </c>
      <c r="J420" s="101"/>
      <c r="K420" s="101"/>
      <c r="L420" s="101"/>
      <c r="M420" s="101"/>
      <c r="N420" s="101"/>
      <c r="O420" s="101"/>
      <c r="P420" s="101"/>
      <c r="Q420" s="101"/>
    </row>
    <row r="421" spans="1:17" s="66" customFormat="1" x14ac:dyDescent="0.2">
      <c r="A421" s="62" t="s">
        <v>54</v>
      </c>
      <c r="B421" s="63">
        <v>915</v>
      </c>
      <c r="C421" s="64" t="s">
        <v>49</v>
      </c>
      <c r="D421" s="64" t="s">
        <v>17</v>
      </c>
      <c r="E421" s="64"/>
      <c r="F421" s="64"/>
      <c r="G421" s="65">
        <f>G422+G426+G424</f>
        <v>122293</v>
      </c>
      <c r="H421" s="65">
        <f t="shared" ref="H421:I421" si="104">H422+H426+H424</f>
        <v>125994</v>
      </c>
      <c r="I421" s="65">
        <f t="shared" si="104"/>
        <v>130234</v>
      </c>
    </row>
    <row r="422" spans="1:17" ht="25.5" x14ac:dyDescent="0.2">
      <c r="A422" s="18" t="s">
        <v>337</v>
      </c>
      <c r="B422" s="22">
        <v>915</v>
      </c>
      <c r="C422" s="19" t="s">
        <v>49</v>
      </c>
      <c r="D422" s="19" t="s">
        <v>17</v>
      </c>
      <c r="E422" s="19" t="s">
        <v>335</v>
      </c>
      <c r="F422" s="19"/>
      <c r="G422" s="20">
        <f>G423</f>
        <v>73264</v>
      </c>
      <c r="H422" s="20">
        <f t="shared" ref="H422:I422" si="105">H423</f>
        <v>75462</v>
      </c>
      <c r="I422" s="20">
        <f t="shared" si="105"/>
        <v>77723</v>
      </c>
      <c r="J422" s="100"/>
      <c r="K422" s="100"/>
      <c r="L422" s="100"/>
      <c r="M422" s="100"/>
      <c r="N422" s="100"/>
      <c r="O422" s="100"/>
      <c r="P422" s="100"/>
      <c r="Q422" s="100"/>
    </row>
    <row r="423" spans="1:17" s="26" customFormat="1" x14ac:dyDescent="0.2">
      <c r="A423" s="28" t="s">
        <v>67</v>
      </c>
      <c r="B423" s="31">
        <v>915</v>
      </c>
      <c r="C423" s="24" t="s">
        <v>49</v>
      </c>
      <c r="D423" s="24" t="s">
        <v>17</v>
      </c>
      <c r="E423" s="24" t="s">
        <v>335</v>
      </c>
      <c r="F423" s="24" t="s">
        <v>68</v>
      </c>
      <c r="G423" s="25">
        <v>73264</v>
      </c>
      <c r="H423" s="25">
        <v>75462</v>
      </c>
      <c r="I423" s="25">
        <v>77723</v>
      </c>
      <c r="J423" s="101"/>
      <c r="K423" s="101"/>
      <c r="L423" s="101"/>
      <c r="M423" s="101"/>
      <c r="N423" s="101"/>
      <c r="O423" s="101"/>
      <c r="P423" s="101"/>
      <c r="Q423" s="101"/>
    </row>
    <row r="424" spans="1:17" ht="89.25" x14ac:dyDescent="0.2">
      <c r="A424" s="18" t="s">
        <v>233</v>
      </c>
      <c r="B424" s="22">
        <v>915</v>
      </c>
      <c r="C424" s="19" t="s">
        <v>49</v>
      </c>
      <c r="D424" s="19" t="s">
        <v>17</v>
      </c>
      <c r="E424" s="19" t="s">
        <v>96</v>
      </c>
      <c r="F424" s="19"/>
      <c r="G424" s="20">
        <f>G425</f>
        <v>615</v>
      </c>
      <c r="H424" s="20">
        <f>H425</f>
        <v>634</v>
      </c>
      <c r="I424" s="20">
        <f>I425</f>
        <v>659</v>
      </c>
      <c r="J424" s="100"/>
      <c r="K424" s="100"/>
      <c r="L424" s="100"/>
      <c r="M424" s="100"/>
      <c r="N424" s="100"/>
      <c r="O424" s="100"/>
      <c r="P424" s="100"/>
      <c r="Q424" s="100"/>
    </row>
    <row r="425" spans="1:17" s="26" customFormat="1" x14ac:dyDescent="0.2">
      <c r="A425" s="28" t="s">
        <v>67</v>
      </c>
      <c r="B425" s="31">
        <v>915</v>
      </c>
      <c r="C425" s="24" t="s">
        <v>49</v>
      </c>
      <c r="D425" s="24" t="s">
        <v>17</v>
      </c>
      <c r="E425" s="24" t="s">
        <v>96</v>
      </c>
      <c r="F425" s="24" t="s">
        <v>68</v>
      </c>
      <c r="G425" s="25">
        <v>615</v>
      </c>
      <c r="H425" s="25">
        <v>634</v>
      </c>
      <c r="I425" s="25">
        <v>659</v>
      </c>
      <c r="J425" s="101"/>
      <c r="K425" s="101"/>
      <c r="L425" s="101"/>
      <c r="M425" s="101"/>
      <c r="N425" s="101"/>
      <c r="O425" s="101"/>
      <c r="P425" s="101"/>
      <c r="Q425" s="101"/>
    </row>
    <row r="426" spans="1:17" ht="102" x14ac:dyDescent="0.2">
      <c r="A426" s="18" t="s">
        <v>234</v>
      </c>
      <c r="B426" s="22">
        <v>915</v>
      </c>
      <c r="C426" s="19" t="s">
        <v>49</v>
      </c>
      <c r="D426" s="19" t="s">
        <v>17</v>
      </c>
      <c r="E426" s="19" t="s">
        <v>97</v>
      </c>
      <c r="F426" s="19"/>
      <c r="G426" s="20">
        <f>G427</f>
        <v>48414</v>
      </c>
      <c r="H426" s="20">
        <f t="shared" ref="H426:I426" si="106">H427</f>
        <v>49898</v>
      </c>
      <c r="I426" s="20">
        <f t="shared" si="106"/>
        <v>51852</v>
      </c>
      <c r="J426" s="100"/>
      <c r="K426" s="100"/>
      <c r="L426" s="100"/>
      <c r="M426" s="100"/>
      <c r="N426" s="100"/>
      <c r="O426" s="100"/>
      <c r="P426" s="100"/>
      <c r="Q426" s="100"/>
    </row>
    <row r="427" spans="1:17" s="26" customFormat="1" x14ac:dyDescent="0.2">
      <c r="A427" s="28" t="s">
        <v>67</v>
      </c>
      <c r="B427" s="31">
        <v>915</v>
      </c>
      <c r="C427" s="24" t="s">
        <v>49</v>
      </c>
      <c r="D427" s="24" t="s">
        <v>17</v>
      </c>
      <c r="E427" s="19" t="s">
        <v>97</v>
      </c>
      <c r="F427" s="24" t="s">
        <v>68</v>
      </c>
      <c r="G427" s="25">
        <v>48414</v>
      </c>
      <c r="H427" s="25">
        <v>49898</v>
      </c>
      <c r="I427" s="25">
        <v>51852</v>
      </c>
      <c r="J427" s="101"/>
      <c r="K427" s="101"/>
      <c r="L427" s="101"/>
      <c r="M427" s="101"/>
      <c r="N427" s="101"/>
      <c r="O427" s="101"/>
      <c r="P427" s="101"/>
      <c r="Q427" s="101"/>
    </row>
    <row r="428" spans="1:17" s="9" customFormat="1" x14ac:dyDescent="0.2">
      <c r="A428" s="11" t="s">
        <v>55</v>
      </c>
      <c r="B428" s="14">
        <v>915</v>
      </c>
      <c r="C428" s="8" t="s">
        <v>49</v>
      </c>
      <c r="D428" s="8" t="s">
        <v>48</v>
      </c>
      <c r="E428" s="8"/>
      <c r="F428" s="8"/>
      <c r="G428" s="4">
        <f>G429+G431+G435+G433+G443+G439</f>
        <v>33862.400000000001</v>
      </c>
      <c r="H428" s="4">
        <f t="shared" ref="H428:I428" si="107">H429+H431+H435+H433+H443+H439</f>
        <v>28219.9</v>
      </c>
      <c r="I428" s="4">
        <f t="shared" si="107"/>
        <v>28219.9</v>
      </c>
      <c r="J428" s="4" t="e">
        <f>J429+J431+J435+J433+J443+#REF!+J439+#REF!</f>
        <v>#REF!</v>
      </c>
      <c r="K428" s="4" t="e">
        <f>K429+K431+K435+K433+K443+#REF!+K439+#REF!</f>
        <v>#REF!</v>
      </c>
      <c r="L428" s="4" t="e">
        <f>L429+L431+L435+L433+L443+#REF!+L439+#REF!</f>
        <v>#REF!</v>
      </c>
      <c r="M428" s="4" t="e">
        <f>M429+M431+M435+M433+M443+#REF!+M439+#REF!</f>
        <v>#REF!</v>
      </c>
      <c r="N428" s="4" t="e">
        <f>N429+N431+N435+N433+N443+#REF!+N439+#REF!</f>
        <v>#REF!</v>
      </c>
      <c r="O428" s="4" t="e">
        <f>O429+O431+O435+O433+O443+#REF!+O439+#REF!</f>
        <v>#REF!</v>
      </c>
      <c r="P428" s="4" t="e">
        <f>P429+P431+P435+P433+P443+#REF!+P439+#REF!</f>
        <v>#REF!</v>
      </c>
      <c r="Q428" s="4" t="e">
        <f>Q429+Q431+Q435+Q433+Q443+#REF!+Q439+#REF!</f>
        <v>#REF!</v>
      </c>
    </row>
    <row r="429" spans="1:17" x14ac:dyDescent="0.2">
      <c r="A429" s="18" t="s">
        <v>235</v>
      </c>
      <c r="B429" s="22">
        <v>915</v>
      </c>
      <c r="C429" s="19" t="s">
        <v>49</v>
      </c>
      <c r="D429" s="19" t="s">
        <v>48</v>
      </c>
      <c r="E429" s="19" t="s">
        <v>236</v>
      </c>
      <c r="F429" s="19"/>
      <c r="G429" s="20">
        <f>G430</f>
        <v>2241.6</v>
      </c>
      <c r="H429" s="20">
        <f t="shared" ref="H429:I429" si="108">H430</f>
        <v>0</v>
      </c>
      <c r="I429" s="20">
        <f t="shared" si="108"/>
        <v>0</v>
      </c>
      <c r="J429" s="194"/>
      <c r="K429" s="194"/>
      <c r="L429" s="194"/>
      <c r="M429" s="194"/>
      <c r="N429" s="194"/>
      <c r="O429" s="194"/>
      <c r="P429" s="194"/>
      <c r="Q429" s="194"/>
    </row>
    <row r="430" spans="1:17" s="26" customFormat="1" ht="25.5" x14ac:dyDescent="0.2">
      <c r="A430" s="28" t="s">
        <v>74</v>
      </c>
      <c r="B430" s="31">
        <v>915</v>
      </c>
      <c r="C430" s="24" t="s">
        <v>49</v>
      </c>
      <c r="D430" s="24" t="s">
        <v>48</v>
      </c>
      <c r="E430" s="24" t="s">
        <v>236</v>
      </c>
      <c r="F430" s="24" t="s">
        <v>66</v>
      </c>
      <c r="G430" s="25">
        <v>2241.6</v>
      </c>
      <c r="H430" s="25"/>
      <c r="I430" s="25"/>
      <c r="J430" s="101"/>
      <c r="K430" s="101"/>
      <c r="L430" s="101"/>
      <c r="M430" s="101"/>
      <c r="N430" s="101"/>
      <c r="O430" s="101"/>
      <c r="P430" s="101"/>
      <c r="Q430" s="101"/>
    </row>
    <row r="431" spans="1:17" s="21" customFormat="1" x14ac:dyDescent="0.2">
      <c r="A431" s="18" t="s">
        <v>237</v>
      </c>
      <c r="B431" s="22">
        <v>915</v>
      </c>
      <c r="C431" s="19" t="s">
        <v>49</v>
      </c>
      <c r="D431" s="19" t="s">
        <v>48</v>
      </c>
      <c r="E431" s="19" t="s">
        <v>238</v>
      </c>
      <c r="F431" s="19"/>
      <c r="G431" s="20">
        <f>G432</f>
        <v>968.2</v>
      </c>
      <c r="H431" s="20">
        <f>H432</f>
        <v>0</v>
      </c>
      <c r="I431" s="20">
        <f>I432</f>
        <v>0</v>
      </c>
      <c r="J431" s="100"/>
      <c r="K431" s="100"/>
      <c r="L431" s="100"/>
      <c r="M431" s="100"/>
      <c r="N431" s="100"/>
      <c r="O431" s="100"/>
      <c r="P431" s="100"/>
      <c r="Q431" s="100"/>
    </row>
    <row r="432" spans="1:17" s="26" customFormat="1" ht="25.5" x14ac:dyDescent="0.2">
      <c r="A432" s="28" t="s">
        <v>119</v>
      </c>
      <c r="B432" s="31">
        <v>915</v>
      </c>
      <c r="C432" s="24" t="s">
        <v>49</v>
      </c>
      <c r="D432" s="24" t="s">
        <v>48</v>
      </c>
      <c r="E432" s="24" t="s">
        <v>238</v>
      </c>
      <c r="F432" s="24" t="s">
        <v>63</v>
      </c>
      <c r="G432" s="25">
        <v>968.2</v>
      </c>
      <c r="H432" s="54"/>
      <c r="I432" s="54"/>
      <c r="J432" s="101"/>
      <c r="K432" s="101"/>
      <c r="L432" s="101"/>
      <c r="M432" s="101"/>
      <c r="N432" s="101"/>
      <c r="O432" s="101"/>
      <c r="P432" s="101"/>
      <c r="Q432" s="101"/>
    </row>
    <row r="433" spans="1:17" s="71" customFormat="1" ht="25.5" x14ac:dyDescent="0.2">
      <c r="A433" s="67" t="s">
        <v>323</v>
      </c>
      <c r="B433" s="68">
        <v>915</v>
      </c>
      <c r="C433" s="69" t="s">
        <v>49</v>
      </c>
      <c r="D433" s="69" t="s">
        <v>48</v>
      </c>
      <c r="E433" s="69" t="s">
        <v>322</v>
      </c>
      <c r="F433" s="69"/>
      <c r="G433" s="70">
        <f>G434</f>
        <v>10</v>
      </c>
      <c r="H433" s="70">
        <f>H434</f>
        <v>0</v>
      </c>
      <c r="I433" s="70">
        <f>I434</f>
        <v>0</v>
      </c>
    </row>
    <row r="434" spans="1:17" s="76" customFormat="1" ht="25.5" x14ac:dyDescent="0.2">
      <c r="A434" s="28" t="s">
        <v>74</v>
      </c>
      <c r="B434" s="78">
        <v>915</v>
      </c>
      <c r="C434" s="74" t="s">
        <v>49</v>
      </c>
      <c r="D434" s="74" t="s">
        <v>48</v>
      </c>
      <c r="E434" s="74" t="s">
        <v>322</v>
      </c>
      <c r="F434" s="74" t="s">
        <v>66</v>
      </c>
      <c r="G434" s="54">
        <v>10</v>
      </c>
      <c r="H434" s="54"/>
      <c r="I434" s="54"/>
    </row>
    <row r="435" spans="1:17" ht="38.25" x14ac:dyDescent="0.2">
      <c r="A435" s="18" t="s">
        <v>239</v>
      </c>
      <c r="B435" s="22">
        <v>915</v>
      </c>
      <c r="C435" s="19" t="s">
        <v>49</v>
      </c>
      <c r="D435" s="19" t="s">
        <v>48</v>
      </c>
      <c r="E435" s="19" t="s">
        <v>94</v>
      </c>
      <c r="F435" s="19"/>
      <c r="G435" s="20">
        <f>G436+G437+G438</f>
        <v>28219.9</v>
      </c>
      <c r="H435" s="20">
        <f>H436+H437+H438</f>
        <v>28219.9</v>
      </c>
      <c r="I435" s="20">
        <f>I436+I437+I438</f>
        <v>28219.9</v>
      </c>
      <c r="J435" s="100"/>
      <c r="K435" s="100"/>
      <c r="L435" s="100"/>
      <c r="M435" s="100"/>
      <c r="N435" s="100"/>
      <c r="O435" s="100"/>
      <c r="P435" s="100"/>
      <c r="Q435" s="100"/>
    </row>
    <row r="436" spans="1:17" s="26" customFormat="1" ht="51.75" customHeight="1" x14ac:dyDescent="0.2">
      <c r="A436" s="23" t="s">
        <v>64</v>
      </c>
      <c r="B436" s="31">
        <v>915</v>
      </c>
      <c r="C436" s="24" t="s">
        <v>49</v>
      </c>
      <c r="D436" s="24" t="s">
        <v>48</v>
      </c>
      <c r="E436" s="24" t="s">
        <v>94</v>
      </c>
      <c r="F436" s="27" t="s">
        <v>65</v>
      </c>
      <c r="G436" s="25">
        <v>26948.9</v>
      </c>
      <c r="H436" s="25">
        <v>26948.9</v>
      </c>
      <c r="I436" s="25">
        <v>26948.9</v>
      </c>
      <c r="J436" s="101"/>
      <c r="K436" s="101"/>
      <c r="L436" s="101"/>
      <c r="M436" s="101"/>
      <c r="N436" s="101"/>
      <c r="O436" s="101"/>
      <c r="P436" s="101"/>
      <c r="Q436" s="101"/>
    </row>
    <row r="437" spans="1:17" s="26" customFormat="1" ht="25.5" x14ac:dyDescent="0.2">
      <c r="A437" s="28" t="s">
        <v>74</v>
      </c>
      <c r="B437" s="31">
        <v>915</v>
      </c>
      <c r="C437" s="24" t="s">
        <v>49</v>
      </c>
      <c r="D437" s="24" t="s">
        <v>48</v>
      </c>
      <c r="E437" s="24" t="s">
        <v>94</v>
      </c>
      <c r="F437" s="27" t="s">
        <v>66</v>
      </c>
      <c r="G437" s="25">
        <v>1263.4000000000001</v>
      </c>
      <c r="H437" s="25">
        <v>1263.4000000000001</v>
      </c>
      <c r="I437" s="25">
        <v>1263.4000000000001</v>
      </c>
      <c r="J437" s="101"/>
      <c r="K437" s="101"/>
      <c r="L437" s="101"/>
      <c r="M437" s="101"/>
      <c r="N437" s="101"/>
      <c r="O437" s="101"/>
      <c r="P437" s="101"/>
      <c r="Q437" s="101"/>
    </row>
    <row r="438" spans="1:17" s="76" customFormat="1" x14ac:dyDescent="0.2">
      <c r="A438" s="79" t="s">
        <v>70</v>
      </c>
      <c r="B438" s="78">
        <v>915</v>
      </c>
      <c r="C438" s="74" t="s">
        <v>49</v>
      </c>
      <c r="D438" s="74" t="s">
        <v>48</v>
      </c>
      <c r="E438" s="74" t="s">
        <v>94</v>
      </c>
      <c r="F438" s="74" t="s">
        <v>71</v>
      </c>
      <c r="G438" s="54">
        <v>7.6</v>
      </c>
      <c r="H438" s="54">
        <v>7.6</v>
      </c>
      <c r="I438" s="54">
        <v>7.6</v>
      </c>
    </row>
    <row r="439" spans="1:17" x14ac:dyDescent="0.2">
      <c r="A439" s="18" t="s">
        <v>147</v>
      </c>
      <c r="B439" s="18">
        <v>915</v>
      </c>
      <c r="C439" s="19" t="s">
        <v>49</v>
      </c>
      <c r="D439" s="19" t="s">
        <v>48</v>
      </c>
      <c r="E439" s="16" t="s">
        <v>148</v>
      </c>
      <c r="F439" s="19"/>
      <c r="G439" s="4">
        <f>G440+G441+G442</f>
        <v>2392.6999999999998</v>
      </c>
      <c r="H439" s="4">
        <f t="shared" ref="H439:I439" si="109">H440+H441+H442</f>
        <v>0</v>
      </c>
      <c r="I439" s="4">
        <f t="shared" si="109"/>
        <v>0</v>
      </c>
      <c r="J439" s="100"/>
      <c r="K439" s="100"/>
      <c r="L439" s="100"/>
      <c r="M439" s="100"/>
      <c r="N439" s="100"/>
      <c r="O439" s="100"/>
      <c r="P439" s="100"/>
      <c r="Q439" s="100"/>
    </row>
    <row r="440" spans="1:17" ht="25.5" x14ac:dyDescent="0.2">
      <c r="A440" s="28" t="s">
        <v>74</v>
      </c>
      <c r="B440" s="18">
        <v>915</v>
      </c>
      <c r="C440" s="24" t="s">
        <v>49</v>
      </c>
      <c r="D440" s="24" t="s">
        <v>48</v>
      </c>
      <c r="E440" s="24" t="s">
        <v>148</v>
      </c>
      <c r="F440" s="24" t="s">
        <v>66</v>
      </c>
      <c r="G440" s="20">
        <v>3</v>
      </c>
      <c r="H440" s="25"/>
      <c r="I440" s="25"/>
      <c r="J440" s="100"/>
      <c r="K440" s="100"/>
      <c r="L440" s="100"/>
      <c r="M440" s="100"/>
      <c r="N440" s="100"/>
      <c r="O440" s="100"/>
      <c r="P440" s="100"/>
      <c r="Q440" s="100"/>
    </row>
    <row r="441" spans="1:17" ht="14.25" customHeight="1" x14ac:dyDescent="0.2">
      <c r="A441" s="28" t="s">
        <v>67</v>
      </c>
      <c r="B441" s="18">
        <v>915</v>
      </c>
      <c r="C441" s="24" t="s">
        <v>49</v>
      </c>
      <c r="D441" s="24" t="s">
        <v>48</v>
      </c>
      <c r="E441" s="24" t="s">
        <v>148</v>
      </c>
      <c r="F441" s="24" t="s">
        <v>68</v>
      </c>
      <c r="G441" s="20">
        <v>689.7</v>
      </c>
      <c r="H441" s="25"/>
      <c r="I441" s="25"/>
      <c r="J441" s="100"/>
      <c r="K441" s="100"/>
      <c r="L441" s="100"/>
      <c r="M441" s="100"/>
      <c r="N441" s="100"/>
      <c r="O441" s="100"/>
      <c r="P441" s="100"/>
      <c r="Q441" s="100"/>
    </row>
    <row r="442" spans="1:17" ht="28.5" customHeight="1" x14ac:dyDescent="0.2">
      <c r="A442" s="28" t="s">
        <v>80</v>
      </c>
      <c r="B442" s="18">
        <v>915</v>
      </c>
      <c r="C442" s="24" t="s">
        <v>49</v>
      </c>
      <c r="D442" s="24" t="s">
        <v>48</v>
      </c>
      <c r="E442" s="24" t="s">
        <v>148</v>
      </c>
      <c r="F442" s="24" t="s">
        <v>69</v>
      </c>
      <c r="G442" s="20">
        <v>1700</v>
      </c>
      <c r="H442" s="25"/>
      <c r="I442" s="25"/>
      <c r="J442" s="100"/>
      <c r="K442" s="100"/>
      <c r="L442" s="100"/>
      <c r="M442" s="100"/>
      <c r="N442" s="100"/>
      <c r="O442" s="100"/>
      <c r="P442" s="100"/>
      <c r="Q442" s="100"/>
    </row>
    <row r="443" spans="1:17" s="71" customFormat="1" x14ac:dyDescent="0.2">
      <c r="A443" s="67" t="s">
        <v>334</v>
      </c>
      <c r="B443" s="67">
        <v>915</v>
      </c>
      <c r="C443" s="69" t="s">
        <v>49</v>
      </c>
      <c r="D443" s="69" t="s">
        <v>48</v>
      </c>
      <c r="E443" s="97" t="s">
        <v>333</v>
      </c>
      <c r="F443" s="69"/>
      <c r="G443" s="65">
        <f>G444</f>
        <v>30</v>
      </c>
      <c r="H443" s="65">
        <f t="shared" ref="H443:I443" si="110">H444</f>
        <v>0</v>
      </c>
      <c r="I443" s="65">
        <f t="shared" si="110"/>
        <v>0</v>
      </c>
    </row>
    <row r="444" spans="1:17" s="21" customFormat="1" ht="25.5" x14ac:dyDescent="0.2">
      <c r="A444" s="28" t="s">
        <v>74</v>
      </c>
      <c r="B444" s="18">
        <v>915</v>
      </c>
      <c r="C444" s="24" t="s">
        <v>49</v>
      </c>
      <c r="D444" s="24" t="s">
        <v>48</v>
      </c>
      <c r="E444" s="24" t="s">
        <v>333</v>
      </c>
      <c r="F444" s="24" t="s">
        <v>66</v>
      </c>
      <c r="G444" s="20">
        <v>30</v>
      </c>
      <c r="H444" s="54"/>
      <c r="I444" s="54"/>
    </row>
    <row r="445" spans="1:17" s="9" customFormat="1" ht="36" customHeight="1" x14ac:dyDescent="0.2">
      <c r="A445" s="39" t="s">
        <v>46</v>
      </c>
      <c r="B445" s="36">
        <v>919</v>
      </c>
      <c r="C445" s="40"/>
      <c r="D445" s="40"/>
      <c r="E445" s="40"/>
      <c r="F445" s="40"/>
      <c r="G445" s="38">
        <f>G450+G462+G505+G446</f>
        <v>416601.4</v>
      </c>
      <c r="H445" s="38">
        <f>H450+H462+H505+H446</f>
        <v>167511.29999999999</v>
      </c>
      <c r="I445" s="38">
        <f>I450+I462+I505+I446</f>
        <v>140439.1</v>
      </c>
      <c r="J445" s="38" t="e">
        <f>J450+J462+J505+#REF!</f>
        <v>#REF!</v>
      </c>
      <c r="K445" s="38" t="e">
        <f>K450+K462+K505+#REF!</f>
        <v>#REF!</v>
      </c>
      <c r="L445" s="38" t="e">
        <f>L450+L462+L505+#REF!</f>
        <v>#REF!</v>
      </c>
      <c r="M445" s="38" t="e">
        <f>M450+M462+M505+#REF!</f>
        <v>#REF!</v>
      </c>
      <c r="N445" s="38" t="e">
        <f>N450+N462+N505+#REF!</f>
        <v>#REF!</v>
      </c>
      <c r="O445" s="38" t="e">
        <f>O450+O462+O505+#REF!</f>
        <v>#REF!</v>
      </c>
      <c r="P445" s="38" t="e">
        <f>P450+P462+P505+#REF!</f>
        <v>#REF!</v>
      </c>
      <c r="Q445" s="38" t="e">
        <f>Q450+Q462+Q505+#REF!</f>
        <v>#REF!</v>
      </c>
    </row>
    <row r="446" spans="1:17" s="9" customFormat="1" x14ac:dyDescent="0.2">
      <c r="A446" s="13" t="s">
        <v>58</v>
      </c>
      <c r="B446" s="41">
        <v>919</v>
      </c>
      <c r="C446" s="1" t="s">
        <v>11</v>
      </c>
      <c r="D446" s="1"/>
      <c r="E446" s="1"/>
      <c r="F446" s="1"/>
      <c r="G446" s="4">
        <f>G447</f>
        <v>50</v>
      </c>
      <c r="H446" s="4">
        <f t="shared" ref="H446:I447" si="111">H447</f>
        <v>0</v>
      </c>
      <c r="I446" s="4">
        <f t="shared" si="111"/>
        <v>0</v>
      </c>
      <c r="J446" s="191"/>
      <c r="K446" s="191"/>
      <c r="L446" s="191"/>
      <c r="M446" s="191"/>
      <c r="N446" s="191"/>
      <c r="O446" s="191"/>
      <c r="P446" s="191"/>
      <c r="Q446" s="191"/>
    </row>
    <row r="447" spans="1:17" s="9" customFormat="1" x14ac:dyDescent="0.2">
      <c r="A447" s="11" t="s">
        <v>23</v>
      </c>
      <c r="B447" s="14">
        <v>919</v>
      </c>
      <c r="C447" s="8" t="s">
        <v>11</v>
      </c>
      <c r="D447" s="8" t="s">
        <v>59</v>
      </c>
      <c r="E447" s="8"/>
      <c r="F447" s="8"/>
      <c r="G447" s="4">
        <f>G448</f>
        <v>50</v>
      </c>
      <c r="H447" s="4">
        <f t="shared" si="111"/>
        <v>0</v>
      </c>
      <c r="I447" s="4">
        <f t="shared" si="111"/>
        <v>0</v>
      </c>
      <c r="J447" s="191"/>
      <c r="K447" s="191"/>
      <c r="L447" s="191"/>
      <c r="M447" s="191"/>
      <c r="N447" s="191"/>
      <c r="O447" s="191"/>
      <c r="P447" s="191"/>
      <c r="Q447" s="191"/>
    </row>
    <row r="448" spans="1:17" s="66" customFormat="1" ht="38.25" x14ac:dyDescent="0.2">
      <c r="A448" s="67" t="s">
        <v>583</v>
      </c>
      <c r="B448" s="68">
        <v>919</v>
      </c>
      <c r="C448" s="69" t="s">
        <v>11</v>
      </c>
      <c r="D448" s="69" t="s">
        <v>59</v>
      </c>
      <c r="E448" s="82" t="s">
        <v>584</v>
      </c>
      <c r="F448" s="82"/>
      <c r="G448" s="70">
        <f>G449</f>
        <v>50</v>
      </c>
      <c r="H448" s="70">
        <f t="shared" ref="H448:I448" si="112">H449</f>
        <v>0</v>
      </c>
      <c r="I448" s="70">
        <f t="shared" si="112"/>
        <v>0</v>
      </c>
      <c r="J448" s="197"/>
      <c r="K448" s="197"/>
      <c r="L448" s="197"/>
      <c r="M448" s="197"/>
      <c r="N448" s="197"/>
      <c r="O448" s="197"/>
      <c r="P448" s="197"/>
      <c r="Q448" s="197"/>
    </row>
    <row r="449" spans="1:17" s="66" customFormat="1" ht="25.5" x14ac:dyDescent="0.2">
      <c r="A449" s="28" t="s">
        <v>74</v>
      </c>
      <c r="B449" s="73">
        <v>919</v>
      </c>
      <c r="C449" s="74" t="s">
        <v>11</v>
      </c>
      <c r="D449" s="74" t="s">
        <v>59</v>
      </c>
      <c r="E449" s="74" t="s">
        <v>584</v>
      </c>
      <c r="F449" s="75" t="s">
        <v>66</v>
      </c>
      <c r="G449" s="70">
        <v>50</v>
      </c>
      <c r="H449" s="70"/>
      <c r="I449" s="70"/>
      <c r="J449" s="197"/>
      <c r="K449" s="197"/>
      <c r="L449" s="197"/>
      <c r="M449" s="197"/>
      <c r="N449" s="197"/>
      <c r="O449" s="197"/>
      <c r="P449" s="197"/>
      <c r="Q449" s="197"/>
    </row>
    <row r="450" spans="1:17" s="3" customFormat="1" x14ac:dyDescent="0.2">
      <c r="A450" s="13" t="s">
        <v>26</v>
      </c>
      <c r="B450" s="41">
        <v>919</v>
      </c>
      <c r="C450" s="1" t="s">
        <v>17</v>
      </c>
      <c r="D450" s="1"/>
      <c r="E450" s="1"/>
      <c r="F450" s="1"/>
      <c r="G450" s="2">
        <f>+G451</f>
        <v>132283.5</v>
      </c>
      <c r="H450" s="2">
        <f t="shared" ref="H450:I450" si="113">+H451</f>
        <v>134109.5</v>
      </c>
      <c r="I450" s="2">
        <f t="shared" si="113"/>
        <v>112150</v>
      </c>
    </row>
    <row r="451" spans="1:17" s="66" customFormat="1" x14ac:dyDescent="0.2">
      <c r="A451" s="62" t="s">
        <v>77</v>
      </c>
      <c r="B451" s="63">
        <v>919</v>
      </c>
      <c r="C451" s="64" t="s">
        <v>17</v>
      </c>
      <c r="D451" s="64" t="s">
        <v>25</v>
      </c>
      <c r="E451" s="64"/>
      <c r="F451" s="64"/>
      <c r="G451" s="65">
        <f>+G456+G458+G454+G452+G460</f>
        <v>132283.5</v>
      </c>
      <c r="H451" s="65">
        <f t="shared" ref="H451:I451" si="114">+H456+H458+H454+H452+H460</f>
        <v>134109.5</v>
      </c>
      <c r="I451" s="65">
        <f t="shared" si="114"/>
        <v>112150</v>
      </c>
      <c r="J451" s="65">
        <f t="shared" ref="J451:Q451" si="115">+J456+J458+J454+J452</f>
        <v>0</v>
      </c>
      <c r="K451" s="65">
        <f t="shared" si="115"/>
        <v>0</v>
      </c>
      <c r="L451" s="65">
        <f t="shared" si="115"/>
        <v>0</v>
      </c>
      <c r="M451" s="65">
        <f t="shared" si="115"/>
        <v>0</v>
      </c>
      <c r="N451" s="65">
        <f t="shared" si="115"/>
        <v>0</v>
      </c>
      <c r="O451" s="65">
        <f t="shared" si="115"/>
        <v>0</v>
      </c>
      <c r="P451" s="65">
        <f t="shared" si="115"/>
        <v>0</v>
      </c>
      <c r="Q451" s="65">
        <f t="shared" si="115"/>
        <v>0</v>
      </c>
    </row>
    <row r="452" spans="1:17" ht="63.75" customHeight="1" x14ac:dyDescent="0.2">
      <c r="A452" s="18" t="s">
        <v>309</v>
      </c>
      <c r="B452" s="22">
        <v>919</v>
      </c>
      <c r="C452" s="19" t="s">
        <v>17</v>
      </c>
      <c r="D452" s="19" t="s">
        <v>25</v>
      </c>
      <c r="E452" s="19" t="s">
        <v>310</v>
      </c>
      <c r="F452" s="19"/>
      <c r="G452" s="20">
        <f>G453</f>
        <v>30000</v>
      </c>
      <c r="H452" s="20">
        <f>H453</f>
        <v>30000</v>
      </c>
      <c r="I452" s="20">
        <f>I453</f>
        <v>34651</v>
      </c>
      <c r="J452" s="100"/>
      <c r="K452" s="100"/>
      <c r="L452" s="100"/>
      <c r="M452" s="100"/>
      <c r="N452" s="100"/>
      <c r="O452" s="100"/>
      <c r="P452" s="100"/>
      <c r="Q452" s="100"/>
    </row>
    <row r="453" spans="1:17" s="26" customFormat="1" ht="25.5" x14ac:dyDescent="0.2">
      <c r="A453" s="28" t="s">
        <v>119</v>
      </c>
      <c r="B453" s="31">
        <v>919</v>
      </c>
      <c r="C453" s="24" t="s">
        <v>17</v>
      </c>
      <c r="D453" s="24" t="s">
        <v>25</v>
      </c>
      <c r="E453" s="24" t="s">
        <v>310</v>
      </c>
      <c r="F453" s="24" t="s">
        <v>63</v>
      </c>
      <c r="G453" s="25">
        <v>30000</v>
      </c>
      <c r="H453" s="25">
        <v>30000</v>
      </c>
      <c r="I453" s="25">
        <v>34651</v>
      </c>
      <c r="J453" s="101"/>
      <c r="K453" s="101"/>
      <c r="L453" s="101"/>
      <c r="M453" s="101"/>
      <c r="N453" s="101"/>
      <c r="O453" s="101"/>
      <c r="P453" s="101"/>
      <c r="Q453" s="101"/>
    </row>
    <row r="454" spans="1:17" ht="61.5" customHeight="1" x14ac:dyDescent="0.2">
      <c r="A454" s="18" t="s">
        <v>309</v>
      </c>
      <c r="B454" s="22">
        <v>919</v>
      </c>
      <c r="C454" s="19" t="s">
        <v>17</v>
      </c>
      <c r="D454" s="19" t="s">
        <v>25</v>
      </c>
      <c r="E454" s="19" t="s">
        <v>313</v>
      </c>
      <c r="F454" s="19"/>
      <c r="G454" s="20">
        <f>G455</f>
        <v>1500</v>
      </c>
      <c r="H454" s="20">
        <f>H455</f>
        <v>0</v>
      </c>
      <c r="I454" s="20">
        <f>I455</f>
        <v>0</v>
      </c>
      <c r="J454" s="100"/>
      <c r="K454" s="100"/>
      <c r="L454" s="100"/>
      <c r="M454" s="100"/>
      <c r="N454" s="100"/>
      <c r="O454" s="100"/>
      <c r="P454" s="100"/>
      <c r="Q454" s="100"/>
    </row>
    <row r="455" spans="1:17" s="26" customFormat="1" ht="25.5" x14ac:dyDescent="0.2">
      <c r="A455" s="28" t="s">
        <v>119</v>
      </c>
      <c r="B455" s="31">
        <v>919</v>
      </c>
      <c r="C455" s="24" t="s">
        <v>17</v>
      </c>
      <c r="D455" s="24" t="s">
        <v>25</v>
      </c>
      <c r="E455" s="24" t="s">
        <v>313</v>
      </c>
      <c r="F455" s="24" t="s">
        <v>63</v>
      </c>
      <c r="G455" s="25">
        <v>1500</v>
      </c>
      <c r="H455" s="25"/>
      <c r="I455" s="25"/>
      <c r="J455" s="101"/>
      <c r="K455" s="101"/>
      <c r="L455" s="101"/>
      <c r="M455" s="101"/>
      <c r="N455" s="101"/>
      <c r="O455" s="101"/>
      <c r="P455" s="101"/>
      <c r="Q455" s="101"/>
    </row>
    <row r="456" spans="1:17" ht="25.5" x14ac:dyDescent="0.2">
      <c r="A456" s="18" t="s">
        <v>245</v>
      </c>
      <c r="B456" s="22">
        <v>919</v>
      </c>
      <c r="C456" s="19" t="s">
        <v>17</v>
      </c>
      <c r="D456" s="19" t="s">
        <v>25</v>
      </c>
      <c r="E456" s="19" t="s">
        <v>244</v>
      </c>
      <c r="F456" s="19"/>
      <c r="G456" s="20">
        <f>G457</f>
        <v>84184</v>
      </c>
      <c r="H456" s="20">
        <f>H457</f>
        <v>89779.5</v>
      </c>
      <c r="I456" s="20">
        <f>I457</f>
        <v>64769</v>
      </c>
      <c r="J456" s="100"/>
      <c r="K456" s="100"/>
      <c r="L456" s="100"/>
      <c r="M456" s="100"/>
      <c r="N456" s="100"/>
      <c r="O456" s="100"/>
      <c r="P456" s="100"/>
      <c r="Q456" s="100"/>
    </row>
    <row r="457" spans="1:17" s="76" customFormat="1" ht="25.5" x14ac:dyDescent="0.2">
      <c r="A457" s="79" t="s">
        <v>119</v>
      </c>
      <c r="B457" s="78">
        <v>919</v>
      </c>
      <c r="C457" s="74" t="s">
        <v>17</v>
      </c>
      <c r="D457" s="74" t="s">
        <v>25</v>
      </c>
      <c r="E457" s="74" t="s">
        <v>244</v>
      </c>
      <c r="F457" s="74" t="s">
        <v>63</v>
      </c>
      <c r="G457" s="54">
        <v>84184</v>
      </c>
      <c r="H457" s="54">
        <v>89779.5</v>
      </c>
      <c r="I457" s="54">
        <v>64769</v>
      </c>
      <c r="J457" s="101"/>
      <c r="K457" s="101"/>
      <c r="L457" s="101"/>
      <c r="M457" s="101"/>
      <c r="N457" s="101"/>
      <c r="O457" s="101"/>
      <c r="P457" s="101"/>
      <c r="Q457" s="101"/>
    </row>
    <row r="458" spans="1:17" s="71" customFormat="1" ht="25.5" x14ac:dyDescent="0.2">
      <c r="A458" s="67" t="s">
        <v>247</v>
      </c>
      <c r="B458" s="67">
        <v>919</v>
      </c>
      <c r="C458" s="69" t="s">
        <v>17</v>
      </c>
      <c r="D458" s="69" t="s">
        <v>25</v>
      </c>
      <c r="E458" s="69" t="s">
        <v>246</v>
      </c>
      <c r="F458" s="69"/>
      <c r="G458" s="70">
        <f>G459</f>
        <v>14330</v>
      </c>
      <c r="H458" s="70">
        <f>H459</f>
        <v>14330</v>
      </c>
      <c r="I458" s="70">
        <f>I459</f>
        <v>12730</v>
      </c>
    </row>
    <row r="459" spans="1:17" s="71" customFormat="1" ht="25.5" x14ac:dyDescent="0.2">
      <c r="A459" s="79" t="s">
        <v>119</v>
      </c>
      <c r="B459" s="79">
        <v>919</v>
      </c>
      <c r="C459" s="74" t="s">
        <v>17</v>
      </c>
      <c r="D459" s="74" t="s">
        <v>25</v>
      </c>
      <c r="E459" s="74" t="s">
        <v>246</v>
      </c>
      <c r="F459" s="74" t="s">
        <v>63</v>
      </c>
      <c r="G459" s="54">
        <v>14330</v>
      </c>
      <c r="H459" s="54">
        <v>14330</v>
      </c>
      <c r="I459" s="54">
        <v>12730</v>
      </c>
    </row>
    <row r="460" spans="1:17" ht="25.5" x14ac:dyDescent="0.2">
      <c r="A460" s="17" t="s">
        <v>339</v>
      </c>
      <c r="B460" s="42">
        <v>919</v>
      </c>
      <c r="C460" s="19" t="s">
        <v>17</v>
      </c>
      <c r="D460" s="19" t="s">
        <v>25</v>
      </c>
      <c r="E460" s="19" t="s">
        <v>338</v>
      </c>
      <c r="F460" s="19"/>
      <c r="G460" s="20">
        <f>G461</f>
        <v>2269.5</v>
      </c>
      <c r="H460" s="20">
        <f t="shared" ref="H460:I460" si="116">H461</f>
        <v>0</v>
      </c>
      <c r="I460" s="20">
        <f t="shared" si="116"/>
        <v>0</v>
      </c>
      <c r="J460" s="100"/>
      <c r="K460" s="100"/>
      <c r="L460" s="100"/>
      <c r="M460" s="100"/>
      <c r="N460" s="100"/>
      <c r="O460" s="100"/>
      <c r="P460" s="100"/>
      <c r="Q460" s="100"/>
    </row>
    <row r="461" spans="1:17" ht="25.5" x14ac:dyDescent="0.2">
      <c r="A461" s="28" t="s">
        <v>74</v>
      </c>
      <c r="B461" s="31">
        <v>919</v>
      </c>
      <c r="C461" s="24" t="s">
        <v>17</v>
      </c>
      <c r="D461" s="24" t="s">
        <v>25</v>
      </c>
      <c r="E461" s="19" t="s">
        <v>338</v>
      </c>
      <c r="F461" s="24" t="s">
        <v>66</v>
      </c>
      <c r="G461" s="25">
        <v>2269.5</v>
      </c>
      <c r="H461" s="25"/>
      <c r="I461" s="25"/>
      <c r="J461" s="100"/>
      <c r="K461" s="100"/>
      <c r="L461" s="100"/>
      <c r="M461" s="100"/>
      <c r="N461" s="100"/>
      <c r="O461" s="100"/>
      <c r="P461" s="100"/>
      <c r="Q461" s="100"/>
    </row>
    <row r="462" spans="1:17" s="88" customFormat="1" ht="15.75" customHeight="1" x14ac:dyDescent="0.2">
      <c r="A462" s="87" t="s">
        <v>28</v>
      </c>
      <c r="B462" s="56">
        <v>919</v>
      </c>
      <c r="C462" s="57" t="s">
        <v>29</v>
      </c>
      <c r="D462" s="57"/>
      <c r="E462" s="57"/>
      <c r="F462" s="57"/>
      <c r="G462" s="60">
        <f>G463+G468+G485+G499</f>
        <v>281939.90000000002</v>
      </c>
      <c r="H462" s="60">
        <f>H463+H468+H485+H499</f>
        <v>33401.800000000003</v>
      </c>
      <c r="I462" s="60">
        <f>I463+I468+I485+I499</f>
        <v>28289.100000000002</v>
      </c>
    </row>
    <row r="463" spans="1:17" s="9" customFormat="1" x14ac:dyDescent="0.2">
      <c r="A463" s="11" t="s">
        <v>30</v>
      </c>
      <c r="B463" s="14">
        <v>919</v>
      </c>
      <c r="C463" s="8" t="s">
        <v>29</v>
      </c>
      <c r="D463" s="8" t="s">
        <v>11</v>
      </c>
      <c r="E463" s="8"/>
      <c r="F463" s="8"/>
      <c r="G463" s="4">
        <f>G464+G466</f>
        <v>3494</v>
      </c>
      <c r="H463" s="4">
        <f t="shared" ref="H463:Q463" si="117">H464+H466</f>
        <v>0</v>
      </c>
      <c r="I463" s="4">
        <f t="shared" si="117"/>
        <v>0</v>
      </c>
      <c r="J463" s="4">
        <f t="shared" si="117"/>
        <v>0</v>
      </c>
      <c r="K463" s="4">
        <f t="shared" si="117"/>
        <v>0</v>
      </c>
      <c r="L463" s="4">
        <f t="shared" si="117"/>
        <v>0</v>
      </c>
      <c r="M463" s="4">
        <f t="shared" si="117"/>
        <v>0</v>
      </c>
      <c r="N463" s="4">
        <f t="shared" si="117"/>
        <v>0</v>
      </c>
      <c r="O463" s="4">
        <f t="shared" si="117"/>
        <v>0</v>
      </c>
      <c r="P463" s="4">
        <f t="shared" si="117"/>
        <v>0</v>
      </c>
      <c r="Q463" s="4">
        <f t="shared" si="117"/>
        <v>0</v>
      </c>
    </row>
    <row r="464" spans="1:17" s="71" customFormat="1" x14ac:dyDescent="0.2">
      <c r="A464" s="67" t="s">
        <v>326</v>
      </c>
      <c r="B464" s="68">
        <v>919</v>
      </c>
      <c r="C464" s="69" t="s">
        <v>29</v>
      </c>
      <c r="D464" s="69" t="s">
        <v>11</v>
      </c>
      <c r="E464" s="69" t="s">
        <v>327</v>
      </c>
      <c r="F464" s="69"/>
      <c r="G464" s="70">
        <f t="shared" ref="G464:I464" si="118">G465</f>
        <v>1994</v>
      </c>
      <c r="H464" s="70">
        <f t="shared" si="118"/>
        <v>0</v>
      </c>
      <c r="I464" s="70">
        <f t="shared" si="118"/>
        <v>0</v>
      </c>
      <c r="J464" s="100"/>
      <c r="K464" s="100"/>
      <c r="L464" s="100"/>
      <c r="M464" s="100"/>
      <c r="N464" s="100"/>
      <c r="O464" s="100"/>
      <c r="P464" s="100"/>
      <c r="Q464" s="100"/>
    </row>
    <row r="465" spans="1:17" s="76" customFormat="1" ht="25.5" x14ac:dyDescent="0.2">
      <c r="A465" s="28" t="s">
        <v>74</v>
      </c>
      <c r="B465" s="78">
        <v>919</v>
      </c>
      <c r="C465" s="74" t="s">
        <v>29</v>
      </c>
      <c r="D465" s="74" t="s">
        <v>11</v>
      </c>
      <c r="E465" s="74" t="s">
        <v>327</v>
      </c>
      <c r="F465" s="74" t="s">
        <v>66</v>
      </c>
      <c r="G465" s="54">
        <f>894+1100</f>
        <v>1994</v>
      </c>
      <c r="H465" s="54"/>
      <c r="I465" s="54"/>
      <c r="J465" s="101"/>
      <c r="K465" s="101"/>
      <c r="L465" s="101"/>
      <c r="M465" s="101"/>
      <c r="N465" s="101"/>
      <c r="O465" s="101"/>
      <c r="P465" s="101"/>
      <c r="Q465" s="101"/>
    </row>
    <row r="466" spans="1:17" s="26" customFormat="1" ht="25.5" x14ac:dyDescent="0.2">
      <c r="A466" s="18" t="s">
        <v>307</v>
      </c>
      <c r="B466" s="18">
        <v>919</v>
      </c>
      <c r="C466" s="19" t="s">
        <v>29</v>
      </c>
      <c r="D466" s="19" t="s">
        <v>11</v>
      </c>
      <c r="E466" s="19" t="s">
        <v>308</v>
      </c>
      <c r="F466" s="19"/>
      <c r="G466" s="25">
        <f>G467</f>
        <v>1500</v>
      </c>
      <c r="H466" s="25">
        <f t="shared" ref="H466:I466" si="119">H467</f>
        <v>0</v>
      </c>
      <c r="I466" s="25">
        <f t="shared" si="119"/>
        <v>0</v>
      </c>
    </row>
    <row r="467" spans="1:17" s="26" customFormat="1" ht="25.5" x14ac:dyDescent="0.2">
      <c r="A467" s="28" t="s">
        <v>74</v>
      </c>
      <c r="B467" s="28">
        <v>919</v>
      </c>
      <c r="C467" s="24" t="s">
        <v>29</v>
      </c>
      <c r="D467" s="24" t="s">
        <v>11</v>
      </c>
      <c r="E467" s="24" t="s">
        <v>308</v>
      </c>
      <c r="F467" s="27" t="s">
        <v>66</v>
      </c>
      <c r="G467" s="25">
        <v>1500</v>
      </c>
      <c r="H467" s="25"/>
      <c r="I467" s="25"/>
    </row>
    <row r="468" spans="1:17" s="66" customFormat="1" ht="15" customHeight="1" x14ac:dyDescent="0.2">
      <c r="A468" s="62" t="s">
        <v>31</v>
      </c>
      <c r="B468" s="63">
        <v>919</v>
      </c>
      <c r="C468" s="64" t="s">
        <v>29</v>
      </c>
      <c r="D468" s="64" t="s">
        <v>13</v>
      </c>
      <c r="E468" s="64"/>
      <c r="F468" s="64"/>
      <c r="G468" s="65">
        <f>+G475+G477+G479+G469+G473+G481+G483+G471</f>
        <v>238894.2</v>
      </c>
      <c r="H468" s="65">
        <f t="shared" ref="H468:I468" si="120">+H475+H477+H479+H469+H473+H481+H483+H471</f>
        <v>0</v>
      </c>
      <c r="I468" s="65">
        <f t="shared" si="120"/>
        <v>0</v>
      </c>
      <c r="J468" s="65" t="e">
        <f>+J475+J477+J479+J469+J473+#REF!</f>
        <v>#REF!</v>
      </c>
      <c r="K468" s="65" t="e">
        <f>+K475+K477+K479+K469+K473+#REF!</f>
        <v>#REF!</v>
      </c>
      <c r="L468" s="65" t="e">
        <f>+L475+L477+L479+L469+L473+#REF!</f>
        <v>#REF!</v>
      </c>
      <c r="M468" s="65" t="e">
        <f>+M475+M477+M479+M469+M473+#REF!</f>
        <v>#REF!</v>
      </c>
      <c r="N468" s="65" t="e">
        <f>+N475+N477+N479+N469+N473+#REF!</f>
        <v>#REF!</v>
      </c>
      <c r="O468" s="65" t="e">
        <f>+O475+O477+O479+O469+O473+#REF!</f>
        <v>#REF!</v>
      </c>
      <c r="P468" s="65" t="e">
        <f>+P475+P477+P479+P469+P473+#REF!</f>
        <v>#REF!</v>
      </c>
      <c r="Q468" s="65" t="e">
        <f>+Q475+Q477+Q479+Q469+Q473+#REF!</f>
        <v>#REF!</v>
      </c>
    </row>
    <row r="469" spans="1:17" s="7" customFormat="1" ht="25.5" x14ac:dyDescent="0.2">
      <c r="A469" s="17" t="s">
        <v>249</v>
      </c>
      <c r="B469" s="42">
        <v>919</v>
      </c>
      <c r="C469" s="19" t="s">
        <v>29</v>
      </c>
      <c r="D469" s="19" t="s">
        <v>13</v>
      </c>
      <c r="E469" s="19" t="s">
        <v>248</v>
      </c>
      <c r="F469" s="19"/>
      <c r="G469" s="20">
        <f>G470</f>
        <v>940.9</v>
      </c>
      <c r="H469" s="20">
        <f t="shared" ref="H469:I469" si="121">H470</f>
        <v>0</v>
      </c>
      <c r="I469" s="20">
        <f t="shared" si="121"/>
        <v>0</v>
      </c>
    </row>
    <row r="470" spans="1:17" s="7" customFormat="1" ht="25.5" x14ac:dyDescent="0.2">
      <c r="A470" s="28" t="s">
        <v>74</v>
      </c>
      <c r="B470" s="31">
        <v>919</v>
      </c>
      <c r="C470" s="24" t="s">
        <v>29</v>
      </c>
      <c r="D470" s="24" t="s">
        <v>13</v>
      </c>
      <c r="E470" s="24" t="s">
        <v>248</v>
      </c>
      <c r="F470" s="24" t="s">
        <v>66</v>
      </c>
      <c r="G470" s="25">
        <v>940.9</v>
      </c>
      <c r="H470" s="25"/>
      <c r="I470" s="25"/>
    </row>
    <row r="471" spans="1:17" s="26" customFormat="1" ht="25.5" x14ac:dyDescent="0.2">
      <c r="A471" s="18" t="s">
        <v>580</v>
      </c>
      <c r="B471" s="22">
        <v>919</v>
      </c>
      <c r="C471" s="19" t="s">
        <v>29</v>
      </c>
      <c r="D471" s="19" t="s">
        <v>13</v>
      </c>
      <c r="E471" s="19" t="s">
        <v>581</v>
      </c>
      <c r="F471" s="19"/>
      <c r="G471" s="25">
        <f>G472</f>
        <v>1000</v>
      </c>
      <c r="H471" s="25">
        <f t="shared" ref="H471:I471" si="122">H472</f>
        <v>0</v>
      </c>
      <c r="I471" s="25">
        <f t="shared" si="122"/>
        <v>0</v>
      </c>
      <c r="J471" s="101"/>
      <c r="K471" s="101"/>
      <c r="L471" s="101"/>
      <c r="M471" s="101"/>
      <c r="N471" s="101"/>
      <c r="O471" s="101"/>
      <c r="P471" s="101"/>
      <c r="Q471" s="101"/>
    </row>
    <row r="472" spans="1:17" s="26" customFormat="1" ht="25.5" x14ac:dyDescent="0.2">
      <c r="A472" s="28" t="s">
        <v>74</v>
      </c>
      <c r="B472" s="31">
        <v>919</v>
      </c>
      <c r="C472" s="24" t="s">
        <v>29</v>
      </c>
      <c r="D472" s="24" t="s">
        <v>13</v>
      </c>
      <c r="E472" s="24" t="s">
        <v>581</v>
      </c>
      <c r="F472" s="24" t="s">
        <v>66</v>
      </c>
      <c r="G472" s="25">
        <v>1000</v>
      </c>
      <c r="H472" s="25"/>
      <c r="I472" s="25"/>
      <c r="J472" s="101"/>
      <c r="K472" s="101"/>
      <c r="L472" s="101"/>
      <c r="M472" s="101"/>
      <c r="N472" s="101"/>
      <c r="O472" s="101"/>
      <c r="P472" s="101"/>
      <c r="Q472" s="101"/>
    </row>
    <row r="473" spans="1:17" s="7" customFormat="1" ht="13.5" customHeight="1" x14ac:dyDescent="0.2">
      <c r="A473" s="17" t="s">
        <v>291</v>
      </c>
      <c r="B473" s="17">
        <v>919</v>
      </c>
      <c r="C473" s="19" t="s">
        <v>29</v>
      </c>
      <c r="D473" s="19" t="s">
        <v>13</v>
      </c>
      <c r="E473" s="19" t="s">
        <v>290</v>
      </c>
      <c r="F473" s="19"/>
      <c r="G473" s="20">
        <f>G474</f>
        <v>2149.1</v>
      </c>
      <c r="H473" s="20">
        <f>H474</f>
        <v>0</v>
      </c>
      <c r="I473" s="20">
        <f>I474</f>
        <v>0</v>
      </c>
    </row>
    <row r="474" spans="1:17" s="7" customFormat="1" ht="25.5" x14ac:dyDescent="0.2">
      <c r="A474" s="28" t="s">
        <v>74</v>
      </c>
      <c r="B474" s="28">
        <v>919</v>
      </c>
      <c r="C474" s="24" t="s">
        <v>29</v>
      </c>
      <c r="D474" s="24" t="s">
        <v>13</v>
      </c>
      <c r="E474" s="24" t="s">
        <v>290</v>
      </c>
      <c r="F474" s="24" t="s">
        <v>66</v>
      </c>
      <c r="G474" s="25">
        <v>2149.1</v>
      </c>
      <c r="H474" s="25"/>
      <c r="I474" s="25"/>
    </row>
    <row r="475" spans="1:17" ht="63.75" x14ac:dyDescent="0.2">
      <c r="A475" s="18" t="s">
        <v>251</v>
      </c>
      <c r="B475" s="22">
        <v>919</v>
      </c>
      <c r="C475" s="19" t="s">
        <v>29</v>
      </c>
      <c r="D475" s="19" t="s">
        <v>13</v>
      </c>
      <c r="E475" s="19" t="s">
        <v>250</v>
      </c>
      <c r="F475" s="19"/>
      <c r="G475" s="20">
        <f>G476</f>
        <v>169886.5</v>
      </c>
      <c r="H475" s="20">
        <f>H476</f>
        <v>0</v>
      </c>
      <c r="I475" s="20">
        <f>I476</f>
        <v>0</v>
      </c>
      <c r="J475" s="100"/>
      <c r="K475" s="100"/>
      <c r="L475" s="100"/>
      <c r="M475" s="100"/>
      <c r="N475" s="100"/>
      <c r="O475" s="100"/>
      <c r="P475" s="100"/>
      <c r="Q475" s="100"/>
    </row>
    <row r="476" spans="1:17" s="26" customFormat="1" x14ac:dyDescent="0.2">
      <c r="A476" s="28" t="s">
        <v>70</v>
      </c>
      <c r="B476" s="31">
        <v>919</v>
      </c>
      <c r="C476" s="24" t="s">
        <v>29</v>
      </c>
      <c r="D476" s="24" t="s">
        <v>13</v>
      </c>
      <c r="E476" s="24" t="s">
        <v>250</v>
      </c>
      <c r="F476" s="24" t="s">
        <v>71</v>
      </c>
      <c r="G476" s="25">
        <f>57392.8+109759.2+2734.5</f>
        <v>169886.5</v>
      </c>
      <c r="H476" s="25"/>
      <c r="I476" s="25"/>
      <c r="J476" s="101"/>
      <c r="K476" s="101"/>
      <c r="L476" s="101"/>
      <c r="M476" s="101"/>
      <c r="N476" s="101"/>
      <c r="O476" s="101"/>
      <c r="P476" s="101"/>
      <c r="Q476" s="101"/>
    </row>
    <row r="477" spans="1:17" ht="63.75" x14ac:dyDescent="0.2">
      <c r="A477" s="17" t="s">
        <v>253</v>
      </c>
      <c r="B477" s="42">
        <v>919</v>
      </c>
      <c r="C477" s="19" t="s">
        <v>29</v>
      </c>
      <c r="D477" s="19" t="s">
        <v>13</v>
      </c>
      <c r="E477" s="19" t="s">
        <v>252</v>
      </c>
      <c r="F477" s="19"/>
      <c r="G477" s="20">
        <f>G478</f>
        <v>13355.2</v>
      </c>
      <c r="H477" s="20">
        <f>H478</f>
        <v>0</v>
      </c>
      <c r="I477" s="20">
        <f>I478</f>
        <v>0</v>
      </c>
      <c r="J477" s="100"/>
      <c r="K477" s="100"/>
      <c r="L477" s="100"/>
      <c r="M477" s="100"/>
      <c r="N477" s="100"/>
      <c r="O477" s="100"/>
      <c r="P477" s="100"/>
      <c r="Q477" s="100"/>
    </row>
    <row r="478" spans="1:17" s="26" customFormat="1" x14ac:dyDescent="0.2">
      <c r="A478" s="28" t="s">
        <v>70</v>
      </c>
      <c r="B478" s="31">
        <v>919</v>
      </c>
      <c r="C478" s="24" t="s">
        <v>29</v>
      </c>
      <c r="D478" s="24" t="s">
        <v>13</v>
      </c>
      <c r="E478" s="24" t="s">
        <v>252</v>
      </c>
      <c r="F478" s="24" t="s">
        <v>71</v>
      </c>
      <c r="G478" s="25">
        <v>13355.2</v>
      </c>
      <c r="H478" s="25"/>
      <c r="I478" s="25"/>
      <c r="J478" s="101"/>
      <c r="K478" s="101"/>
      <c r="L478" s="101"/>
      <c r="M478" s="101"/>
      <c r="N478" s="101"/>
      <c r="O478" s="101"/>
      <c r="P478" s="101"/>
      <c r="Q478" s="101"/>
    </row>
    <row r="479" spans="1:17" s="21" customFormat="1" ht="38.25" x14ac:dyDescent="0.2">
      <c r="A479" s="18" t="s">
        <v>255</v>
      </c>
      <c r="B479" s="22">
        <v>919</v>
      </c>
      <c r="C479" s="19" t="s">
        <v>29</v>
      </c>
      <c r="D479" s="19" t="s">
        <v>13</v>
      </c>
      <c r="E479" s="19" t="s">
        <v>254</v>
      </c>
      <c r="F479" s="19"/>
      <c r="G479" s="20">
        <f>G480</f>
        <v>2590.5</v>
      </c>
      <c r="H479" s="20">
        <f>H480</f>
        <v>0</v>
      </c>
      <c r="I479" s="20">
        <f>I480</f>
        <v>0</v>
      </c>
    </row>
    <row r="480" spans="1:17" s="26" customFormat="1" x14ac:dyDescent="0.2">
      <c r="A480" s="28" t="s">
        <v>70</v>
      </c>
      <c r="B480" s="31">
        <v>919</v>
      </c>
      <c r="C480" s="24" t="s">
        <v>29</v>
      </c>
      <c r="D480" s="24" t="s">
        <v>13</v>
      </c>
      <c r="E480" s="24" t="s">
        <v>254</v>
      </c>
      <c r="F480" s="24" t="s">
        <v>71</v>
      </c>
      <c r="G480" s="25">
        <v>2590.5</v>
      </c>
      <c r="H480" s="54"/>
      <c r="I480" s="54"/>
    </row>
    <row r="481" spans="1:17" ht="63.75" x14ac:dyDescent="0.2">
      <c r="A481" s="18" t="s">
        <v>567</v>
      </c>
      <c r="B481" s="22">
        <v>919</v>
      </c>
      <c r="C481" s="19" t="s">
        <v>29</v>
      </c>
      <c r="D481" s="19" t="s">
        <v>13</v>
      </c>
      <c r="E481" s="19" t="s">
        <v>558</v>
      </c>
      <c r="F481" s="19"/>
      <c r="G481" s="20">
        <f t="shared" ref="G481:I483" si="123">G482</f>
        <v>44670</v>
      </c>
      <c r="H481" s="20">
        <f t="shared" si="123"/>
        <v>0</v>
      </c>
      <c r="I481" s="20">
        <f t="shared" si="123"/>
        <v>0</v>
      </c>
      <c r="J481" s="100"/>
      <c r="K481" s="100"/>
      <c r="L481" s="100"/>
      <c r="M481" s="100"/>
      <c r="N481" s="100"/>
      <c r="O481" s="100"/>
      <c r="P481" s="100"/>
      <c r="Q481" s="100"/>
    </row>
    <row r="482" spans="1:17" s="26" customFormat="1" x14ac:dyDescent="0.2">
      <c r="A482" s="28" t="s">
        <v>70</v>
      </c>
      <c r="B482" s="31">
        <v>919</v>
      </c>
      <c r="C482" s="24" t="s">
        <v>29</v>
      </c>
      <c r="D482" s="24" t="s">
        <v>13</v>
      </c>
      <c r="E482" s="24" t="s">
        <v>558</v>
      </c>
      <c r="F482" s="24" t="s">
        <v>71</v>
      </c>
      <c r="G482" s="25">
        <v>44670</v>
      </c>
      <c r="H482" s="25"/>
      <c r="I482" s="25"/>
      <c r="J482" s="101"/>
      <c r="K482" s="101"/>
      <c r="L482" s="101"/>
      <c r="M482" s="101"/>
      <c r="N482" s="101"/>
      <c r="O482" s="101"/>
      <c r="P482" s="101"/>
      <c r="Q482" s="101"/>
    </row>
    <row r="483" spans="1:17" s="26" customFormat="1" ht="25.5" x14ac:dyDescent="0.2">
      <c r="A483" s="18" t="s">
        <v>565</v>
      </c>
      <c r="B483" s="22">
        <v>919</v>
      </c>
      <c r="C483" s="19" t="s">
        <v>29</v>
      </c>
      <c r="D483" s="19" t="s">
        <v>13</v>
      </c>
      <c r="E483" s="19" t="s">
        <v>564</v>
      </c>
      <c r="F483" s="19"/>
      <c r="G483" s="20">
        <f t="shared" si="123"/>
        <v>4302</v>
      </c>
      <c r="H483" s="20">
        <f t="shared" si="123"/>
        <v>0</v>
      </c>
      <c r="I483" s="20">
        <f t="shared" si="123"/>
        <v>0</v>
      </c>
    </row>
    <row r="484" spans="1:17" s="26" customFormat="1" x14ac:dyDescent="0.2">
      <c r="A484" s="28" t="s">
        <v>70</v>
      </c>
      <c r="B484" s="31">
        <v>919</v>
      </c>
      <c r="C484" s="24" t="s">
        <v>29</v>
      </c>
      <c r="D484" s="24" t="s">
        <v>13</v>
      </c>
      <c r="E484" s="24" t="s">
        <v>564</v>
      </c>
      <c r="F484" s="24" t="s">
        <v>71</v>
      </c>
      <c r="G484" s="25">
        <v>4302</v>
      </c>
      <c r="H484" s="25"/>
      <c r="I484" s="25"/>
    </row>
    <row r="485" spans="1:17" s="9" customFormat="1" ht="16.5" customHeight="1" x14ac:dyDescent="0.2">
      <c r="A485" s="11" t="s">
        <v>33</v>
      </c>
      <c r="B485" s="14">
        <v>919</v>
      </c>
      <c r="C485" s="8" t="s">
        <v>29</v>
      </c>
      <c r="D485" s="8" t="s">
        <v>15</v>
      </c>
      <c r="E485" s="8"/>
      <c r="F485" s="8"/>
      <c r="G485" s="4">
        <f>G489+G491+G493+G495+G486++G497</f>
        <v>18524.599999999999</v>
      </c>
      <c r="H485" s="4">
        <f t="shared" ref="H485:I485" si="124">H489+H491+H493+H495+H486++H497</f>
        <v>13600</v>
      </c>
      <c r="I485" s="4">
        <f t="shared" si="124"/>
        <v>8704.2999999999993</v>
      </c>
      <c r="J485" s="106"/>
      <c r="K485" s="106"/>
      <c r="L485" s="106"/>
      <c r="M485" s="106"/>
      <c r="N485" s="106"/>
      <c r="O485" s="106"/>
      <c r="P485" s="106"/>
      <c r="Q485" s="106"/>
    </row>
    <row r="486" spans="1:17" s="7" customFormat="1" ht="25.5" x14ac:dyDescent="0.2">
      <c r="A486" s="17" t="s">
        <v>339</v>
      </c>
      <c r="B486" s="42">
        <v>919</v>
      </c>
      <c r="C486" s="19" t="s">
        <v>29</v>
      </c>
      <c r="D486" s="19" t="s">
        <v>15</v>
      </c>
      <c r="E486" s="19" t="s">
        <v>338</v>
      </c>
      <c r="F486" s="19"/>
      <c r="G486" s="20">
        <f>G488+G487</f>
        <v>842</v>
      </c>
      <c r="H486" s="20">
        <f t="shared" ref="H486:I486" si="125">H488+H487</f>
        <v>0</v>
      </c>
      <c r="I486" s="20">
        <f t="shared" si="125"/>
        <v>0</v>
      </c>
      <c r="J486" s="102"/>
      <c r="K486" s="102"/>
      <c r="L486" s="102"/>
      <c r="M486" s="102"/>
      <c r="N486" s="102"/>
      <c r="O486" s="102"/>
      <c r="P486" s="102"/>
      <c r="Q486" s="102"/>
    </row>
    <row r="487" spans="1:17" s="7" customFormat="1" ht="25.5" x14ac:dyDescent="0.2">
      <c r="A487" s="28" t="s">
        <v>74</v>
      </c>
      <c r="B487" s="31">
        <v>919</v>
      </c>
      <c r="C487" s="24" t="s">
        <v>29</v>
      </c>
      <c r="D487" s="24" t="s">
        <v>15</v>
      </c>
      <c r="E487" s="19" t="s">
        <v>338</v>
      </c>
      <c r="F487" s="24" t="s">
        <v>66</v>
      </c>
      <c r="G487" s="25">
        <v>321.5</v>
      </c>
      <c r="H487" s="25"/>
      <c r="I487" s="25"/>
      <c r="J487" s="102"/>
      <c r="K487" s="102"/>
      <c r="L487" s="102"/>
      <c r="M487" s="102"/>
      <c r="N487" s="102"/>
      <c r="O487" s="102"/>
      <c r="P487" s="102"/>
      <c r="Q487" s="102"/>
    </row>
    <row r="488" spans="1:17" s="7" customFormat="1" ht="25.5" x14ac:dyDescent="0.2">
      <c r="A488" s="28" t="s">
        <v>119</v>
      </c>
      <c r="B488" s="31">
        <v>919</v>
      </c>
      <c r="C488" s="24" t="s">
        <v>29</v>
      </c>
      <c r="D488" s="24" t="s">
        <v>15</v>
      </c>
      <c r="E488" s="19" t="s">
        <v>338</v>
      </c>
      <c r="F488" s="24" t="s">
        <v>63</v>
      </c>
      <c r="G488" s="25">
        <v>520.5</v>
      </c>
      <c r="H488" s="25"/>
      <c r="I488" s="25"/>
      <c r="J488" s="102"/>
      <c r="K488" s="102"/>
      <c r="L488" s="102"/>
      <c r="M488" s="102"/>
      <c r="N488" s="102"/>
      <c r="O488" s="102"/>
      <c r="P488" s="102"/>
      <c r="Q488" s="102"/>
    </row>
    <row r="489" spans="1:17" s="80" customFormat="1" x14ac:dyDescent="0.2">
      <c r="A489" s="67" t="s">
        <v>257</v>
      </c>
      <c r="B489" s="68">
        <v>919</v>
      </c>
      <c r="C489" s="69" t="s">
        <v>29</v>
      </c>
      <c r="D489" s="69" t="s">
        <v>15</v>
      </c>
      <c r="E489" s="69" t="s">
        <v>256</v>
      </c>
      <c r="F489" s="69"/>
      <c r="G489" s="70">
        <f>G490</f>
        <v>650</v>
      </c>
      <c r="H489" s="70">
        <f>H490</f>
        <v>650</v>
      </c>
      <c r="I489" s="70">
        <f>I490</f>
        <v>650</v>
      </c>
    </row>
    <row r="490" spans="1:17" s="76" customFormat="1" ht="25.5" x14ac:dyDescent="0.2">
      <c r="A490" s="79" t="s">
        <v>119</v>
      </c>
      <c r="B490" s="78">
        <v>919</v>
      </c>
      <c r="C490" s="74" t="s">
        <v>29</v>
      </c>
      <c r="D490" s="74" t="s">
        <v>15</v>
      </c>
      <c r="E490" s="74" t="s">
        <v>256</v>
      </c>
      <c r="F490" s="74" t="s">
        <v>63</v>
      </c>
      <c r="G490" s="54">
        <v>650</v>
      </c>
      <c r="H490" s="54">
        <v>650</v>
      </c>
      <c r="I490" s="54">
        <v>650</v>
      </c>
    </row>
    <row r="491" spans="1:17" s="7" customFormat="1" ht="25.5" x14ac:dyDescent="0.2">
      <c r="A491" s="18" t="s">
        <v>258</v>
      </c>
      <c r="B491" s="22">
        <v>919</v>
      </c>
      <c r="C491" s="19" t="s">
        <v>29</v>
      </c>
      <c r="D491" s="19" t="s">
        <v>15</v>
      </c>
      <c r="E491" s="19" t="s">
        <v>259</v>
      </c>
      <c r="F491" s="19"/>
      <c r="G491" s="20">
        <f>G492</f>
        <v>3500</v>
      </c>
      <c r="H491" s="20">
        <f>H492</f>
        <v>3500</v>
      </c>
      <c r="I491" s="20">
        <f>I492</f>
        <v>2000</v>
      </c>
    </row>
    <row r="492" spans="1:17" s="26" customFormat="1" ht="25.5" x14ac:dyDescent="0.2">
      <c r="A492" s="28" t="s">
        <v>119</v>
      </c>
      <c r="B492" s="31">
        <v>919</v>
      </c>
      <c r="C492" s="24" t="s">
        <v>29</v>
      </c>
      <c r="D492" s="24" t="s">
        <v>15</v>
      </c>
      <c r="E492" s="24" t="s">
        <v>259</v>
      </c>
      <c r="F492" s="24" t="s">
        <v>63</v>
      </c>
      <c r="G492" s="25">
        <v>3500</v>
      </c>
      <c r="H492" s="54">
        <v>3500</v>
      </c>
      <c r="I492" s="54">
        <v>2000</v>
      </c>
    </row>
    <row r="493" spans="1:17" s="7" customFormat="1" x14ac:dyDescent="0.2">
      <c r="A493" s="18" t="s">
        <v>261</v>
      </c>
      <c r="B493" s="22">
        <v>919</v>
      </c>
      <c r="C493" s="24" t="s">
        <v>29</v>
      </c>
      <c r="D493" s="24" t="s">
        <v>15</v>
      </c>
      <c r="E493" s="19" t="s">
        <v>260</v>
      </c>
      <c r="F493" s="24"/>
      <c r="G493" s="25">
        <f>G494</f>
        <v>582.6</v>
      </c>
      <c r="H493" s="25">
        <f>H494</f>
        <v>500</v>
      </c>
      <c r="I493" s="25">
        <f>I494</f>
        <v>354.3</v>
      </c>
    </row>
    <row r="494" spans="1:17" s="26" customFormat="1" ht="25.5" x14ac:dyDescent="0.2">
      <c r="A494" s="28" t="s">
        <v>119</v>
      </c>
      <c r="B494" s="31">
        <v>919</v>
      </c>
      <c r="C494" s="24" t="s">
        <v>29</v>
      </c>
      <c r="D494" s="24" t="s">
        <v>15</v>
      </c>
      <c r="E494" s="24" t="s">
        <v>260</v>
      </c>
      <c r="F494" s="24" t="s">
        <v>63</v>
      </c>
      <c r="G494" s="25">
        <v>582.6</v>
      </c>
      <c r="H494" s="54">
        <v>500</v>
      </c>
      <c r="I494" s="54">
        <v>354.3</v>
      </c>
    </row>
    <row r="495" spans="1:17" s="7" customFormat="1" ht="38.25" x14ac:dyDescent="0.2">
      <c r="A495" s="18" t="s">
        <v>263</v>
      </c>
      <c r="B495" s="22">
        <v>919</v>
      </c>
      <c r="C495" s="19" t="s">
        <v>29</v>
      </c>
      <c r="D495" s="19" t="s">
        <v>15</v>
      </c>
      <c r="E495" s="16" t="s">
        <v>262</v>
      </c>
      <c r="F495" s="19"/>
      <c r="G495" s="20">
        <f>G496</f>
        <v>8950</v>
      </c>
      <c r="H495" s="20">
        <f t="shared" ref="H495:I495" si="126">H496</f>
        <v>8950</v>
      </c>
      <c r="I495" s="20">
        <f t="shared" si="126"/>
        <v>5700</v>
      </c>
    </row>
    <row r="496" spans="1:17" s="76" customFormat="1" ht="25.5" x14ac:dyDescent="0.2">
      <c r="A496" s="79" t="s">
        <v>119</v>
      </c>
      <c r="B496" s="78">
        <v>919</v>
      </c>
      <c r="C496" s="74" t="s">
        <v>29</v>
      </c>
      <c r="D496" s="74" t="s">
        <v>15</v>
      </c>
      <c r="E496" s="97" t="s">
        <v>262</v>
      </c>
      <c r="F496" s="74" t="s">
        <v>63</v>
      </c>
      <c r="G496" s="54">
        <v>8950</v>
      </c>
      <c r="H496" s="54">
        <v>8950</v>
      </c>
      <c r="I496" s="54">
        <v>5700</v>
      </c>
      <c r="J496" s="101"/>
      <c r="K496" s="101"/>
      <c r="L496" s="101"/>
      <c r="M496" s="101"/>
      <c r="N496" s="101"/>
      <c r="O496" s="101"/>
      <c r="P496" s="101"/>
      <c r="Q496" s="101"/>
    </row>
    <row r="497" spans="1:17" s="21" customFormat="1" x14ac:dyDescent="0.2">
      <c r="A497" s="18" t="s">
        <v>314</v>
      </c>
      <c r="B497" s="18">
        <v>919</v>
      </c>
      <c r="C497" s="19" t="s">
        <v>29</v>
      </c>
      <c r="D497" s="19" t="s">
        <v>15</v>
      </c>
      <c r="E497" s="16" t="s">
        <v>315</v>
      </c>
      <c r="F497" s="19"/>
      <c r="G497" s="20">
        <f>G498</f>
        <v>4000</v>
      </c>
      <c r="H497" s="20">
        <f t="shared" ref="H497:I497" si="127">H498</f>
        <v>0</v>
      </c>
      <c r="I497" s="20">
        <f t="shared" si="127"/>
        <v>0</v>
      </c>
    </row>
    <row r="498" spans="1:17" s="21" customFormat="1" ht="25.5" x14ac:dyDescent="0.2">
      <c r="A498" s="28" t="s">
        <v>119</v>
      </c>
      <c r="B498" s="28">
        <v>919</v>
      </c>
      <c r="C498" s="24" t="s">
        <v>29</v>
      </c>
      <c r="D498" s="24" t="s">
        <v>15</v>
      </c>
      <c r="E498" s="16" t="s">
        <v>315</v>
      </c>
      <c r="F498" s="24" t="s">
        <v>63</v>
      </c>
      <c r="G498" s="25">
        <v>4000</v>
      </c>
      <c r="H498" s="54"/>
      <c r="I498" s="54"/>
    </row>
    <row r="499" spans="1:17" s="66" customFormat="1" ht="27.75" customHeight="1" x14ac:dyDescent="0.2">
      <c r="A499" s="62" t="s">
        <v>34</v>
      </c>
      <c r="B499" s="63">
        <v>919</v>
      </c>
      <c r="C499" s="64" t="s">
        <v>29</v>
      </c>
      <c r="D499" s="64" t="s">
        <v>29</v>
      </c>
      <c r="E499" s="64"/>
      <c r="F499" s="64"/>
      <c r="G499" s="65">
        <f>+G500+G503</f>
        <v>21027.1</v>
      </c>
      <c r="H499" s="65">
        <f t="shared" ref="H499:I499" si="128">+H500+H503</f>
        <v>19801.800000000003</v>
      </c>
      <c r="I499" s="65">
        <f t="shared" si="128"/>
        <v>19584.800000000003</v>
      </c>
    </row>
    <row r="500" spans="1:17" ht="23.25" customHeight="1" x14ac:dyDescent="0.2">
      <c r="A500" s="18" t="s">
        <v>265</v>
      </c>
      <c r="B500" s="22">
        <v>919</v>
      </c>
      <c r="C500" s="19" t="s">
        <v>29</v>
      </c>
      <c r="D500" s="19" t="s">
        <v>29</v>
      </c>
      <c r="E500" s="19" t="s">
        <v>264</v>
      </c>
      <c r="F500" s="19"/>
      <c r="G500" s="20">
        <f>G501+G502</f>
        <v>5783.6</v>
      </c>
      <c r="H500" s="20">
        <f t="shared" ref="H500:I500" si="129">H501+H502</f>
        <v>5389.6</v>
      </c>
      <c r="I500" s="20">
        <f t="shared" si="129"/>
        <v>5389.6</v>
      </c>
      <c r="J500" s="100"/>
      <c r="K500" s="100"/>
      <c r="L500" s="100"/>
      <c r="M500" s="100"/>
      <c r="N500" s="100"/>
      <c r="O500" s="100"/>
      <c r="P500" s="100"/>
      <c r="Q500" s="100"/>
    </row>
    <row r="501" spans="1:17" s="26" customFormat="1" ht="54" customHeight="1" x14ac:dyDescent="0.2">
      <c r="A501" s="30" t="s">
        <v>64</v>
      </c>
      <c r="B501" s="32">
        <v>919</v>
      </c>
      <c r="C501" s="24" t="s">
        <v>29</v>
      </c>
      <c r="D501" s="24" t="s">
        <v>29</v>
      </c>
      <c r="E501" s="24" t="s">
        <v>264</v>
      </c>
      <c r="F501" s="24" t="s">
        <v>65</v>
      </c>
      <c r="G501" s="25">
        <f>4073.8+30+1239.4</f>
        <v>5343.2000000000007</v>
      </c>
      <c r="H501" s="25">
        <f>4073.8+30+1239.4</f>
        <v>5343.2000000000007</v>
      </c>
      <c r="I501" s="25">
        <f>4073.8+30+1239.4</f>
        <v>5343.2000000000007</v>
      </c>
      <c r="J501" s="101"/>
      <c r="K501" s="101"/>
      <c r="L501" s="101"/>
      <c r="M501" s="101"/>
      <c r="N501" s="101"/>
      <c r="O501" s="101"/>
      <c r="P501" s="101"/>
      <c r="Q501" s="101"/>
    </row>
    <row r="502" spans="1:17" s="26" customFormat="1" ht="25.5" x14ac:dyDescent="0.2">
      <c r="A502" s="28" t="s">
        <v>74</v>
      </c>
      <c r="B502" s="32">
        <v>919</v>
      </c>
      <c r="C502" s="24" t="s">
        <v>29</v>
      </c>
      <c r="D502" s="24" t="s">
        <v>29</v>
      </c>
      <c r="E502" s="24" t="s">
        <v>264</v>
      </c>
      <c r="F502" s="24" t="s">
        <v>66</v>
      </c>
      <c r="G502" s="25">
        <f>46.4+29+267+60+38</f>
        <v>440.4</v>
      </c>
      <c r="H502" s="25">
        <v>46.4</v>
      </c>
      <c r="I502" s="25">
        <v>46.4</v>
      </c>
      <c r="J502" s="101"/>
      <c r="K502" s="101"/>
      <c r="L502" s="101"/>
      <c r="M502" s="101"/>
      <c r="N502" s="101"/>
      <c r="O502" s="101"/>
      <c r="P502" s="101"/>
      <c r="Q502" s="101"/>
    </row>
    <row r="503" spans="1:17" s="12" customFormat="1" ht="38.25" x14ac:dyDescent="0.2">
      <c r="A503" s="18" t="s">
        <v>267</v>
      </c>
      <c r="B503" s="22">
        <v>919</v>
      </c>
      <c r="C503" s="19" t="s">
        <v>29</v>
      </c>
      <c r="D503" s="19" t="s">
        <v>29</v>
      </c>
      <c r="E503" s="19" t="s">
        <v>266</v>
      </c>
      <c r="F503" s="5"/>
      <c r="G503" s="6">
        <f>G504</f>
        <v>15243.5</v>
      </c>
      <c r="H503" s="6">
        <f>H504</f>
        <v>14412.2</v>
      </c>
      <c r="I503" s="6">
        <f>I504</f>
        <v>14195.2</v>
      </c>
      <c r="J503" s="107"/>
      <c r="K503" s="107"/>
      <c r="L503" s="107"/>
      <c r="M503" s="107"/>
      <c r="N503" s="107"/>
      <c r="O503" s="107"/>
      <c r="P503" s="107"/>
      <c r="Q503" s="107"/>
    </row>
    <row r="504" spans="1:17" s="26" customFormat="1" ht="25.5" x14ac:dyDescent="0.2">
      <c r="A504" s="28" t="s">
        <v>119</v>
      </c>
      <c r="B504" s="31">
        <v>919</v>
      </c>
      <c r="C504" s="24" t="s">
        <v>29</v>
      </c>
      <c r="D504" s="24" t="s">
        <v>29</v>
      </c>
      <c r="E504" s="24" t="s">
        <v>266</v>
      </c>
      <c r="F504" s="24" t="s">
        <v>63</v>
      </c>
      <c r="G504" s="25">
        <v>15243.5</v>
      </c>
      <c r="H504" s="25">
        <v>14412.2</v>
      </c>
      <c r="I504" s="25">
        <v>14195.2</v>
      </c>
      <c r="J504" s="101"/>
      <c r="K504" s="101"/>
      <c r="L504" s="101"/>
      <c r="M504" s="101"/>
      <c r="N504" s="101"/>
      <c r="O504" s="101"/>
      <c r="P504" s="101"/>
      <c r="Q504" s="101"/>
    </row>
    <row r="505" spans="1:17" s="9" customFormat="1" ht="15.75" customHeight="1" x14ac:dyDescent="0.2">
      <c r="A505" s="11" t="s">
        <v>50</v>
      </c>
      <c r="B505" s="14">
        <v>919</v>
      </c>
      <c r="C505" s="8" t="s">
        <v>49</v>
      </c>
      <c r="D505" s="8"/>
      <c r="E505" s="8"/>
      <c r="F505" s="8"/>
      <c r="G505" s="4">
        <f>G506</f>
        <v>2328</v>
      </c>
      <c r="H505" s="4">
        <f t="shared" ref="H505:I505" si="130">H506</f>
        <v>0</v>
      </c>
      <c r="I505" s="4">
        <f t="shared" si="130"/>
        <v>0</v>
      </c>
    </row>
    <row r="506" spans="1:17" s="9" customFormat="1" ht="15.75" customHeight="1" x14ac:dyDescent="0.2">
      <c r="A506" s="11" t="s">
        <v>55</v>
      </c>
      <c r="B506" s="14">
        <v>919</v>
      </c>
      <c r="C506" s="8" t="s">
        <v>49</v>
      </c>
      <c r="D506" s="8" t="s">
        <v>48</v>
      </c>
      <c r="E506" s="8"/>
      <c r="F506" s="8"/>
      <c r="G506" s="4">
        <f>G507+G509+G511</f>
        <v>2328</v>
      </c>
      <c r="H506" s="4">
        <f t="shared" ref="H506:I506" si="131">H507+H509+H511</f>
        <v>0</v>
      </c>
      <c r="I506" s="4">
        <f t="shared" si="131"/>
        <v>0</v>
      </c>
    </row>
    <row r="507" spans="1:17" x14ac:dyDescent="0.2">
      <c r="A507" s="18" t="s">
        <v>268</v>
      </c>
      <c r="B507" s="22">
        <v>919</v>
      </c>
      <c r="C507" s="19" t="s">
        <v>49</v>
      </c>
      <c r="D507" s="19" t="s">
        <v>48</v>
      </c>
      <c r="E507" s="19" t="s">
        <v>269</v>
      </c>
      <c r="F507" s="19"/>
      <c r="G507" s="20">
        <f>G508</f>
        <v>718.7</v>
      </c>
      <c r="H507" s="20">
        <f>H508</f>
        <v>0</v>
      </c>
      <c r="I507" s="20">
        <f>I508</f>
        <v>0</v>
      </c>
      <c r="J507" s="100"/>
      <c r="K507" s="100"/>
      <c r="L507" s="100"/>
      <c r="M507" s="100"/>
      <c r="N507" s="100"/>
      <c r="O507" s="100"/>
      <c r="P507" s="100"/>
      <c r="Q507" s="100"/>
    </row>
    <row r="508" spans="1:17" s="26" customFormat="1" x14ac:dyDescent="0.2">
      <c r="A508" s="28" t="s">
        <v>67</v>
      </c>
      <c r="B508" s="31">
        <v>919</v>
      </c>
      <c r="C508" s="24" t="s">
        <v>49</v>
      </c>
      <c r="D508" s="24" t="s">
        <v>48</v>
      </c>
      <c r="E508" s="24" t="s">
        <v>269</v>
      </c>
      <c r="F508" s="24" t="s">
        <v>68</v>
      </c>
      <c r="G508" s="25">
        <v>718.7</v>
      </c>
      <c r="H508" s="25"/>
      <c r="I508" s="25"/>
      <c r="J508" s="101"/>
      <c r="K508" s="101"/>
      <c r="L508" s="101"/>
      <c r="M508" s="101"/>
      <c r="N508" s="101"/>
      <c r="O508" s="101"/>
      <c r="P508" s="101"/>
      <c r="Q508" s="101"/>
    </row>
    <row r="509" spans="1:17" ht="25.5" x14ac:dyDescent="0.2">
      <c r="A509" s="18" t="s">
        <v>271</v>
      </c>
      <c r="B509" s="18">
        <v>919</v>
      </c>
      <c r="C509" s="19" t="s">
        <v>49</v>
      </c>
      <c r="D509" s="19" t="s">
        <v>48</v>
      </c>
      <c r="E509" s="19" t="s">
        <v>270</v>
      </c>
      <c r="F509" s="19"/>
      <c r="G509" s="20">
        <f>G510</f>
        <v>1573.8</v>
      </c>
      <c r="H509" s="20">
        <f>H510</f>
        <v>0</v>
      </c>
      <c r="I509" s="20">
        <f>I510</f>
        <v>0</v>
      </c>
      <c r="J509" s="100"/>
      <c r="K509" s="100"/>
      <c r="L509" s="100"/>
      <c r="M509" s="100"/>
      <c r="N509" s="100"/>
      <c r="O509" s="100"/>
      <c r="P509" s="100"/>
      <c r="Q509" s="100"/>
    </row>
    <row r="510" spans="1:17" s="26" customFormat="1" x14ac:dyDescent="0.2">
      <c r="A510" s="28" t="s">
        <v>67</v>
      </c>
      <c r="B510" s="28">
        <v>919</v>
      </c>
      <c r="C510" s="24" t="s">
        <v>49</v>
      </c>
      <c r="D510" s="24" t="s">
        <v>48</v>
      </c>
      <c r="E510" s="24" t="s">
        <v>270</v>
      </c>
      <c r="F510" s="24" t="s">
        <v>68</v>
      </c>
      <c r="G510" s="25">
        <v>1573.8</v>
      </c>
      <c r="H510" s="25"/>
      <c r="I510" s="25"/>
      <c r="J510" s="101"/>
      <c r="K510" s="101"/>
      <c r="L510" s="101"/>
      <c r="M510" s="101"/>
      <c r="N510" s="101"/>
      <c r="O510" s="101"/>
      <c r="P510" s="101"/>
      <c r="Q510" s="101"/>
    </row>
    <row r="511" spans="1:17" ht="76.5" x14ac:dyDescent="0.2">
      <c r="A511" s="53" t="s">
        <v>273</v>
      </c>
      <c r="B511" s="48">
        <v>919</v>
      </c>
      <c r="C511" s="19" t="s">
        <v>49</v>
      </c>
      <c r="D511" s="19" t="s">
        <v>48</v>
      </c>
      <c r="E511" s="19" t="s">
        <v>272</v>
      </c>
      <c r="F511" s="19"/>
      <c r="G511" s="20">
        <f>G512</f>
        <v>35.5</v>
      </c>
      <c r="H511" s="20">
        <f>H512</f>
        <v>0</v>
      </c>
      <c r="I511" s="20">
        <f>I512</f>
        <v>0</v>
      </c>
      <c r="J511" s="100"/>
      <c r="K511" s="100"/>
      <c r="L511" s="100"/>
      <c r="M511" s="100"/>
      <c r="N511" s="100"/>
      <c r="O511" s="100"/>
      <c r="P511" s="100"/>
      <c r="Q511" s="100"/>
    </row>
    <row r="512" spans="1:17" s="26" customFormat="1" x14ac:dyDescent="0.2">
      <c r="A512" s="49" t="s">
        <v>67</v>
      </c>
      <c r="B512" s="28">
        <v>919</v>
      </c>
      <c r="C512" s="24" t="s">
        <v>49</v>
      </c>
      <c r="D512" s="24" t="s">
        <v>48</v>
      </c>
      <c r="E512" s="24" t="s">
        <v>272</v>
      </c>
      <c r="F512" s="24" t="s">
        <v>68</v>
      </c>
      <c r="G512" s="25">
        <v>35.5</v>
      </c>
      <c r="H512" s="25"/>
      <c r="I512" s="25"/>
      <c r="J512" s="101"/>
      <c r="K512" s="101"/>
      <c r="L512" s="101"/>
      <c r="M512" s="101"/>
      <c r="N512" s="101"/>
      <c r="O512" s="101"/>
      <c r="P512" s="101"/>
      <c r="Q512" s="101"/>
    </row>
    <row r="513" spans="1:19" s="15" customFormat="1" ht="23.25" customHeight="1" x14ac:dyDescent="0.25">
      <c r="A513" s="33" t="s">
        <v>56</v>
      </c>
      <c r="B513" s="44"/>
      <c r="C513" s="34"/>
      <c r="D513" s="34"/>
      <c r="E513" s="34"/>
      <c r="F513" s="34"/>
      <c r="G513" s="239">
        <f>G445+G378+G323+G199+G184+G175+G140+G117+G10</f>
        <v>2592433.0999999996</v>
      </c>
      <c r="H513" s="239">
        <f>H445+H378+H323+H199+H184+H175+H140+H117+H10</f>
        <v>2211944.5999999996</v>
      </c>
      <c r="I513" s="239">
        <f>I445+I378+I323+I199+I184+I175+I140+I117+I10</f>
        <v>2181581</v>
      </c>
    </row>
    <row r="514" spans="1:19" ht="9.75" customHeight="1" x14ac:dyDescent="0.2">
      <c r="G514" s="112"/>
      <c r="H514" s="112"/>
      <c r="I514" s="112"/>
      <c r="J514" s="21"/>
      <c r="K514" s="21"/>
      <c r="L514" s="21"/>
      <c r="M514" s="21"/>
      <c r="N514" s="21"/>
      <c r="O514" s="21"/>
      <c r="P514" s="21"/>
      <c r="Q514" s="21"/>
    </row>
    <row r="515" spans="1:19" s="71" customFormat="1" hidden="1" x14ac:dyDescent="0.2">
      <c r="C515" s="95"/>
      <c r="D515" s="95"/>
      <c r="E515" s="95"/>
      <c r="F515" s="95"/>
      <c r="G515" s="98"/>
      <c r="H515" s="98"/>
      <c r="I515" s="98"/>
    </row>
    <row r="516" spans="1:19" s="71" customFormat="1" hidden="1" x14ac:dyDescent="0.2">
      <c r="C516" s="95"/>
      <c r="D516" s="95"/>
      <c r="E516" s="95"/>
      <c r="F516" s="95"/>
      <c r="G516" s="98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516" s="98">
        <f>2338074.6-387+20441.05382+796.44</f>
        <v>2358925.0938200001</v>
      </c>
      <c r="I516" s="98">
        <f>2308087.1-387+21095.92313+821.96</f>
        <v>2329617.9831300001</v>
      </c>
    </row>
    <row r="517" spans="1:19" s="71" customFormat="1" hidden="1" x14ac:dyDescent="0.2">
      <c r="C517" s="95"/>
      <c r="D517" s="95"/>
      <c r="E517" s="95"/>
      <c r="F517" s="95"/>
      <c r="G517" s="99">
        <f>G516-G513</f>
        <v>688319.5043600006</v>
      </c>
      <c r="H517" s="98">
        <f>H516-H513</f>
        <v>146980.49382000044</v>
      </c>
      <c r="I517" s="98">
        <f>I516-I513</f>
        <v>148036.98313000007</v>
      </c>
    </row>
    <row r="518" spans="1:19" ht="24" customHeight="1" x14ac:dyDescent="0.2">
      <c r="A518" s="113" t="s">
        <v>62</v>
      </c>
      <c r="B518" s="221"/>
      <c r="F518" s="112"/>
      <c r="G518" s="114"/>
      <c r="H518" s="114"/>
      <c r="I518" s="115" t="s">
        <v>575</v>
      </c>
      <c r="J518" s="21"/>
      <c r="K518" s="21"/>
      <c r="L518" s="21"/>
      <c r="M518" s="21"/>
      <c r="N518" s="21"/>
      <c r="O518" s="21"/>
      <c r="P518" s="21"/>
      <c r="Q518" s="21"/>
    </row>
    <row r="519" spans="1:19" hidden="1" x14ac:dyDescent="0.2"/>
    <row r="520" spans="1:19" ht="15" hidden="1" x14ac:dyDescent="0.25">
      <c r="G520" s="223">
        <f>30000+232+54+4425+24416+44.7+7860+807241.6+82391+50530.6+28219.9+127647.2+130196.4+743.2+8019.6+386601.4+13765+3046+3182.8+7328.2+72599.3+17452.5-2328+32+655+17238.6+520810.3+3902.2+57695.8+5371.7+16725.2+140307.9+17331.8+8694.2</f>
        <v>2592433.1000000006</v>
      </c>
      <c r="H520" s="224">
        <f>30000+232+54+4425+21142.8+7860+807346.6+82391+50530.6+28219.9+131348.2+130196.4+744.2+7811.8+23132.9+137511.3+1966.3+3046+5005.9+65465.5+9482+8549.9+14784.4+425389.9+2834.3+48265.3+4992.1+6310.1+143841+9065.2</f>
        <v>2211944.6</v>
      </c>
      <c r="I520" s="224">
        <f>34651+232+54+4425+23106.8+7860+807366.5+82515+50530.6+28219.9+135588.2+130196.4+871.2+7811.8+44191.2+105788.1+1966.3+3046+4843.8+64510.6+9482+8549.9+14705.1+399276.1+2834.3+47021.9+4992.1+6292.1+141587.9+9065.2</f>
        <v>2181581.0000000005</v>
      </c>
      <c r="J520" s="21"/>
      <c r="K520" s="21"/>
      <c r="L520" s="21"/>
      <c r="M520" s="21"/>
      <c r="N520" s="21"/>
      <c r="O520" s="21"/>
      <c r="P520" s="21"/>
      <c r="Q520" s="21"/>
      <c r="S520" s="140"/>
    </row>
    <row r="521" spans="1:19" hidden="1" x14ac:dyDescent="0.2">
      <c r="C521" s="198"/>
      <c r="D521" s="198"/>
      <c r="E521" s="198"/>
      <c r="F521" s="198"/>
      <c r="G521" s="183"/>
      <c r="H521" s="117"/>
      <c r="I521" s="117"/>
      <c r="J521" s="21"/>
      <c r="K521" s="21"/>
      <c r="L521" s="21"/>
      <c r="M521" s="21"/>
      <c r="N521" s="21"/>
      <c r="O521" s="21"/>
      <c r="P521" s="21"/>
      <c r="Q521" s="21"/>
    </row>
    <row r="522" spans="1:19" hidden="1" x14ac:dyDescent="0.2">
      <c r="C522" s="198"/>
      <c r="D522" s="198"/>
      <c r="E522" s="198"/>
      <c r="F522" s="198"/>
      <c r="G522" s="198"/>
      <c r="H522" s="198"/>
      <c r="I522" s="198"/>
    </row>
    <row r="523" spans="1:19" hidden="1" x14ac:dyDescent="0.2">
      <c r="C523" s="198"/>
      <c r="D523" s="198"/>
      <c r="E523" s="198"/>
      <c r="F523" s="198"/>
      <c r="G523" s="200"/>
      <c r="H523" s="200"/>
      <c r="I523" s="200"/>
    </row>
    <row r="524" spans="1:19" hidden="1" x14ac:dyDescent="0.2"/>
    <row r="525" spans="1:19" hidden="1" x14ac:dyDescent="0.2">
      <c r="G525" s="183">
        <f>G520-G513</f>
        <v>0</v>
      </c>
      <c r="H525" s="183">
        <f t="shared" ref="H525:I525" si="132">H520-H513</f>
        <v>0</v>
      </c>
      <c r="I525" s="183">
        <f t="shared" si="132"/>
        <v>0</v>
      </c>
      <c r="J525" s="183"/>
      <c r="K525" s="183"/>
      <c r="L525" s="183"/>
      <c r="M525" s="183"/>
      <c r="N525" s="183"/>
      <c r="O525" s="183"/>
      <c r="P525" s="183"/>
      <c r="Q525" s="183"/>
    </row>
    <row r="530" spans="7:7" x14ac:dyDescent="0.2">
      <c r="G530" s="112"/>
    </row>
  </sheetData>
  <mergeCells count="17">
    <mergeCell ref="A4:I4"/>
    <mergeCell ref="A3:I3"/>
    <mergeCell ref="A2:I2"/>
    <mergeCell ref="A1:I1"/>
    <mergeCell ref="H7:H8"/>
    <mergeCell ref="I7:I8"/>
    <mergeCell ref="S173:W174"/>
    <mergeCell ref="S310:X310"/>
    <mergeCell ref="F7:F8"/>
    <mergeCell ref="A5:I5"/>
    <mergeCell ref="A6:G6"/>
    <mergeCell ref="A7:A8"/>
    <mergeCell ref="B7:B8"/>
    <mergeCell ref="C7:C8"/>
    <mergeCell ref="D7:D8"/>
    <mergeCell ref="E7:E8"/>
    <mergeCell ref="G7:G8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6"/>
  <sheetViews>
    <sheetView zoomScaleNormal="100" workbookViewId="0">
      <selection activeCell="L7" sqref="L7"/>
    </sheetView>
  </sheetViews>
  <sheetFormatPr defaultRowHeight="12.75" x14ac:dyDescent="0.2"/>
  <cols>
    <col min="1" max="1" width="61.140625" style="21" customWidth="1"/>
    <col min="2" max="2" width="8.7109375" style="170" customWidth="1"/>
    <col min="3" max="3" width="8.7109375" style="116" customWidth="1"/>
    <col min="4" max="4" width="12.140625" style="170" customWidth="1"/>
    <col min="5" max="5" width="12.140625" style="116" customWidth="1"/>
    <col min="6" max="6" width="5.85546875" style="116" customWidth="1"/>
    <col min="7" max="7" width="13.42578125" style="116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193" customFormat="1" ht="18.75" x14ac:dyDescent="0.3">
      <c r="A1" s="235" t="s">
        <v>526</v>
      </c>
      <c r="B1" s="235"/>
      <c r="C1" s="235"/>
      <c r="D1" s="235"/>
      <c r="E1" s="235"/>
      <c r="F1" s="235"/>
      <c r="G1" s="235"/>
      <c r="H1" s="235"/>
      <c r="I1" s="235"/>
    </row>
    <row r="2" spans="1:9" s="193" customFormat="1" ht="18.75" x14ac:dyDescent="0.3">
      <c r="A2" s="235" t="s">
        <v>537</v>
      </c>
      <c r="B2" s="235"/>
      <c r="C2" s="235"/>
      <c r="D2" s="235"/>
      <c r="E2" s="235"/>
      <c r="F2" s="235"/>
      <c r="G2" s="235"/>
      <c r="H2" s="235"/>
      <c r="I2" s="235"/>
    </row>
    <row r="3" spans="1:9" s="193" customFormat="1" ht="18.75" x14ac:dyDescent="0.3">
      <c r="A3" s="235" t="s">
        <v>539</v>
      </c>
      <c r="B3" s="235"/>
      <c r="C3" s="235"/>
      <c r="D3" s="235"/>
      <c r="E3" s="235"/>
      <c r="F3" s="235"/>
      <c r="G3" s="235"/>
      <c r="H3" s="235"/>
      <c r="I3" s="235"/>
    </row>
    <row r="4" spans="1:9" s="193" customFormat="1" x14ac:dyDescent="0.2">
      <c r="B4" s="170"/>
      <c r="C4" s="192"/>
      <c r="D4" s="170"/>
      <c r="E4" s="192"/>
      <c r="F4" s="192"/>
      <c r="G4" s="192"/>
    </row>
    <row r="5" spans="1:9" s="159" customFormat="1" ht="67.5" customHeight="1" x14ac:dyDescent="0.2">
      <c r="A5" s="236" t="s">
        <v>612</v>
      </c>
      <c r="B5" s="236"/>
      <c r="C5" s="236"/>
      <c r="D5" s="236"/>
      <c r="E5" s="236"/>
      <c r="F5" s="236"/>
      <c r="G5" s="236"/>
      <c r="H5" s="236"/>
      <c r="I5" s="236"/>
    </row>
    <row r="6" spans="1:9" s="160" customFormat="1" ht="11.25" x14ac:dyDescent="0.2">
      <c r="A6" s="237"/>
      <c r="B6" s="237"/>
      <c r="C6" s="237"/>
      <c r="D6" s="237"/>
      <c r="E6" s="237"/>
      <c r="F6" s="237"/>
      <c r="G6" s="237"/>
      <c r="I6" s="161" t="s">
        <v>60</v>
      </c>
    </row>
    <row r="7" spans="1:9" ht="51.75" x14ac:dyDescent="0.25">
      <c r="A7" s="162"/>
      <c r="B7" s="163" t="s">
        <v>525</v>
      </c>
      <c r="C7" s="163" t="s">
        <v>524</v>
      </c>
      <c r="D7" s="164" t="s">
        <v>523</v>
      </c>
      <c r="E7" s="163" t="s">
        <v>522</v>
      </c>
      <c r="F7" s="165" t="s">
        <v>10</v>
      </c>
      <c r="G7" s="166" t="s">
        <v>521</v>
      </c>
      <c r="H7" s="166" t="s">
        <v>520</v>
      </c>
      <c r="I7" s="166" t="s">
        <v>578</v>
      </c>
    </row>
    <row r="8" spans="1:9" s="153" customFormat="1" ht="15.75" customHeight="1" x14ac:dyDescent="0.2">
      <c r="A8" s="158">
        <v>1</v>
      </c>
      <c r="B8" s="156" t="s">
        <v>390</v>
      </c>
      <c r="C8" s="156" t="s">
        <v>386</v>
      </c>
      <c r="D8" s="157" t="s">
        <v>383</v>
      </c>
      <c r="E8" s="156" t="s">
        <v>380</v>
      </c>
      <c r="F8" s="155">
        <v>6</v>
      </c>
      <c r="G8" s="154">
        <v>7</v>
      </c>
      <c r="H8" s="154">
        <v>8</v>
      </c>
      <c r="I8" s="154">
        <v>9</v>
      </c>
    </row>
    <row r="9" spans="1:9" s="9" customFormat="1" ht="25.5" x14ac:dyDescent="0.2">
      <c r="A9" s="35" t="s">
        <v>519</v>
      </c>
      <c r="B9" s="152" t="s">
        <v>11</v>
      </c>
      <c r="C9" s="152"/>
      <c r="D9" s="152"/>
      <c r="E9" s="152"/>
      <c r="F9" s="151"/>
      <c r="G9" s="150">
        <f>SUM(G10,G20,G25)</f>
        <v>83745.200000000012</v>
      </c>
      <c r="H9" s="150">
        <f>SUM(H10,H20,H25)</f>
        <v>63055.5</v>
      </c>
      <c r="I9" s="150">
        <f>SUM(I10,I20,I25)</f>
        <v>61650</v>
      </c>
    </row>
    <row r="10" spans="1:9" s="76" customFormat="1" ht="25.5" x14ac:dyDescent="0.2">
      <c r="A10" s="149" t="s">
        <v>518</v>
      </c>
      <c r="B10" s="148" t="s">
        <v>11</v>
      </c>
      <c r="C10" s="148" t="s">
        <v>395</v>
      </c>
      <c r="D10" s="148"/>
      <c r="E10" s="148"/>
      <c r="F10" s="147"/>
      <c r="G10" s="146">
        <f>SUM(G11,G13,G17)</f>
        <v>68476.400000000009</v>
      </c>
      <c r="H10" s="146">
        <f>SUM(H11,H13,H17)</f>
        <v>53257.4</v>
      </c>
      <c r="I10" s="146">
        <f>SUM(I11,I13,I17)</f>
        <v>52014</v>
      </c>
    </row>
    <row r="11" spans="1:9" s="76" customFormat="1" ht="25.5" x14ac:dyDescent="0.2">
      <c r="A11" s="67" t="s">
        <v>280</v>
      </c>
      <c r="B11" s="69" t="s">
        <v>11</v>
      </c>
      <c r="C11" s="69">
        <v>1</v>
      </c>
      <c r="D11" s="69" t="s">
        <v>352</v>
      </c>
      <c r="E11" s="69" t="s">
        <v>517</v>
      </c>
      <c r="F11" s="69"/>
      <c r="G11" s="70">
        <f>G12</f>
        <v>2391.9</v>
      </c>
      <c r="H11" s="70">
        <f>H12</f>
        <v>2191.9</v>
      </c>
      <c r="I11" s="70">
        <f>I12</f>
        <v>2191.9</v>
      </c>
    </row>
    <row r="12" spans="1:9" s="71" customFormat="1" ht="51" x14ac:dyDescent="0.2">
      <c r="A12" s="72" t="s">
        <v>64</v>
      </c>
      <c r="B12" s="74" t="s">
        <v>11</v>
      </c>
      <c r="C12" s="74">
        <v>1</v>
      </c>
      <c r="D12" s="74" t="s">
        <v>352</v>
      </c>
      <c r="E12" s="74" t="s">
        <v>517</v>
      </c>
      <c r="F12" s="75" t="s">
        <v>65</v>
      </c>
      <c r="G12" s="54">
        <f>' первое чтение вед стр-ра'!G14</f>
        <v>2391.9</v>
      </c>
      <c r="H12" s="54">
        <f>' первое чтение вед стр-ра'!H14</f>
        <v>2191.9</v>
      </c>
      <c r="I12" s="54">
        <f>' первое чтение вед стр-ра'!I14</f>
        <v>2191.9</v>
      </c>
    </row>
    <row r="13" spans="1:9" s="26" customFormat="1" ht="25.5" x14ac:dyDescent="0.2">
      <c r="A13" s="18" t="s">
        <v>280</v>
      </c>
      <c r="B13" s="19" t="s">
        <v>11</v>
      </c>
      <c r="C13" s="19">
        <v>1</v>
      </c>
      <c r="D13" s="19" t="s">
        <v>352</v>
      </c>
      <c r="E13" s="19" t="s">
        <v>516</v>
      </c>
      <c r="F13" s="19"/>
      <c r="G13" s="20">
        <f>SUM(G14:G16)</f>
        <v>60712.800000000003</v>
      </c>
      <c r="H13" s="20">
        <f>SUM(H14:H16)</f>
        <v>46073.4</v>
      </c>
      <c r="I13" s="20">
        <f>SUM(I14:I16)</f>
        <v>44830</v>
      </c>
    </row>
    <row r="14" spans="1:9" s="66" customFormat="1" ht="51" x14ac:dyDescent="0.2">
      <c r="A14" s="72" t="s">
        <v>64</v>
      </c>
      <c r="B14" s="74" t="s">
        <v>11</v>
      </c>
      <c r="C14" s="74">
        <v>1</v>
      </c>
      <c r="D14" s="74" t="s">
        <v>352</v>
      </c>
      <c r="E14" s="74" t="s">
        <v>516</v>
      </c>
      <c r="F14" s="75" t="s">
        <v>65</v>
      </c>
      <c r="G14" s="54">
        <f>' первое чтение вед стр-ра'!G23</f>
        <v>41179.300000000003</v>
      </c>
      <c r="H14" s="54">
        <f>' первое чтение вед стр-ра'!H23</f>
        <v>40832.300000000003</v>
      </c>
      <c r="I14" s="54">
        <f>' первое чтение вед стр-ра'!I23</f>
        <v>40832.300000000003</v>
      </c>
    </row>
    <row r="15" spans="1:9" ht="25.5" x14ac:dyDescent="0.2">
      <c r="A15" s="30" t="s">
        <v>355</v>
      </c>
      <c r="B15" s="24" t="s">
        <v>11</v>
      </c>
      <c r="C15" s="24">
        <v>1</v>
      </c>
      <c r="D15" s="24" t="s">
        <v>352</v>
      </c>
      <c r="E15" s="24" t="s">
        <v>516</v>
      </c>
      <c r="F15" s="27" t="s">
        <v>66</v>
      </c>
      <c r="G15" s="54">
        <f>' первое чтение вед стр-ра'!G24</f>
        <v>19271.5</v>
      </c>
      <c r="H15" s="54">
        <f>' первое чтение вед стр-ра'!H24</f>
        <v>5199.1000000000004</v>
      </c>
      <c r="I15" s="54">
        <f>' первое чтение вед стр-ра'!I24</f>
        <v>3955.7</v>
      </c>
    </row>
    <row r="16" spans="1:9" s="26" customFormat="1" x14ac:dyDescent="0.2">
      <c r="A16" s="28" t="s">
        <v>70</v>
      </c>
      <c r="B16" s="24" t="s">
        <v>11</v>
      </c>
      <c r="C16" s="24">
        <v>1</v>
      </c>
      <c r="D16" s="24" t="s">
        <v>352</v>
      </c>
      <c r="E16" s="24" t="s">
        <v>516</v>
      </c>
      <c r="F16" s="24" t="s">
        <v>71</v>
      </c>
      <c r="G16" s="54">
        <f>' первое чтение вед стр-ра'!G25</f>
        <v>262</v>
      </c>
      <c r="H16" s="54">
        <f>' первое чтение вед стр-ра'!H25</f>
        <v>42</v>
      </c>
      <c r="I16" s="54">
        <f>' первое чтение вед стр-ра'!I25</f>
        <v>42</v>
      </c>
    </row>
    <row r="17" spans="1:9" s="12" customFormat="1" ht="25.5" x14ac:dyDescent="0.2">
      <c r="A17" s="18" t="s">
        <v>280</v>
      </c>
      <c r="B17" s="19" t="s">
        <v>11</v>
      </c>
      <c r="C17" s="19">
        <v>1</v>
      </c>
      <c r="D17" s="19" t="s">
        <v>352</v>
      </c>
      <c r="E17" s="19" t="s">
        <v>515</v>
      </c>
      <c r="F17" s="19"/>
      <c r="G17" s="20">
        <f>G18+G19</f>
        <v>5371.7000000000007</v>
      </c>
      <c r="H17" s="20">
        <f>H18+H19</f>
        <v>4992.1000000000004</v>
      </c>
      <c r="I17" s="20">
        <f>I18+I19</f>
        <v>4992.1000000000004</v>
      </c>
    </row>
    <row r="18" spans="1:9" s="111" customFormat="1" ht="51" x14ac:dyDescent="0.2">
      <c r="A18" s="30" t="s">
        <v>64</v>
      </c>
      <c r="B18" s="19" t="s">
        <v>11</v>
      </c>
      <c r="C18" s="19">
        <v>1</v>
      </c>
      <c r="D18" s="19" t="s">
        <v>352</v>
      </c>
      <c r="E18" s="19" t="s">
        <v>515</v>
      </c>
      <c r="F18" s="27" t="s">
        <v>65</v>
      </c>
      <c r="G18" s="25">
        <f>' первое чтение вед стр-ра'!G29</f>
        <v>4992.1000000000004</v>
      </c>
      <c r="H18" s="25">
        <f>' первое чтение вед стр-ра'!H29</f>
        <v>4992.1000000000004</v>
      </c>
      <c r="I18" s="25">
        <f>' первое чтение вед стр-ра'!I29</f>
        <v>4992.1000000000004</v>
      </c>
    </row>
    <row r="19" spans="1:9" s="76" customFormat="1" ht="25.5" x14ac:dyDescent="0.2">
      <c r="A19" s="72" t="s">
        <v>355</v>
      </c>
      <c r="B19" s="69" t="s">
        <v>11</v>
      </c>
      <c r="C19" s="69">
        <v>1</v>
      </c>
      <c r="D19" s="69" t="s">
        <v>352</v>
      </c>
      <c r="E19" s="69" t="s">
        <v>515</v>
      </c>
      <c r="F19" s="75" t="s">
        <v>66</v>
      </c>
      <c r="G19" s="25">
        <f>' первое чтение вед стр-ра'!G30</f>
        <v>379.6</v>
      </c>
      <c r="H19" s="25">
        <f>' первое чтение вед стр-ра'!H30</f>
        <v>0</v>
      </c>
      <c r="I19" s="25">
        <f>' первое чтение вед стр-ра'!I30</f>
        <v>0</v>
      </c>
    </row>
    <row r="20" spans="1:9" s="71" customFormat="1" ht="25.5" x14ac:dyDescent="0.2">
      <c r="A20" s="136" t="s">
        <v>514</v>
      </c>
      <c r="B20" s="129" t="s">
        <v>11</v>
      </c>
      <c r="C20" s="129" t="s">
        <v>383</v>
      </c>
      <c r="D20" s="129"/>
      <c r="E20" s="129"/>
      <c r="F20" s="135"/>
      <c r="G20" s="128">
        <f>SUM(G21,G23)</f>
        <v>5764.2</v>
      </c>
      <c r="H20" s="128">
        <f>SUM(H21,H23)</f>
        <v>5130.8999999999996</v>
      </c>
      <c r="I20" s="128">
        <f>SUM(I21,I23)</f>
        <v>4968.8</v>
      </c>
    </row>
    <row r="21" spans="1:9" ht="25.5" x14ac:dyDescent="0.2">
      <c r="A21" s="110" t="s">
        <v>130</v>
      </c>
      <c r="B21" s="5" t="s">
        <v>11</v>
      </c>
      <c r="C21" s="5">
        <v>4</v>
      </c>
      <c r="D21" s="5" t="s">
        <v>352</v>
      </c>
      <c r="E21" s="5" t="s">
        <v>513</v>
      </c>
      <c r="F21" s="5"/>
      <c r="G21" s="6">
        <f>G22</f>
        <v>5639.2</v>
      </c>
      <c r="H21" s="6">
        <f>H22</f>
        <v>5005.8999999999996</v>
      </c>
      <c r="I21" s="6">
        <f>I22</f>
        <v>4843.8</v>
      </c>
    </row>
    <row r="22" spans="1:9" s="26" customFormat="1" ht="25.5" x14ac:dyDescent="0.2">
      <c r="A22" s="28" t="s">
        <v>119</v>
      </c>
      <c r="B22" s="24" t="s">
        <v>11</v>
      </c>
      <c r="C22" s="24">
        <v>4</v>
      </c>
      <c r="D22" s="24" t="s">
        <v>352</v>
      </c>
      <c r="E22" s="24" t="s">
        <v>513</v>
      </c>
      <c r="F22" s="24" t="s">
        <v>63</v>
      </c>
      <c r="G22" s="25">
        <f>' первое чтение вед стр-ра'!G53</f>
        <v>5639.2</v>
      </c>
      <c r="H22" s="25">
        <f>' первое чтение вед стр-ра'!H53</f>
        <v>5005.8999999999996</v>
      </c>
      <c r="I22" s="25">
        <f>' первое чтение вед стр-ра'!I53</f>
        <v>4843.8</v>
      </c>
    </row>
    <row r="23" spans="1:9" ht="24.75" customHeight="1" x14ac:dyDescent="0.2">
      <c r="A23" s="18" t="s">
        <v>127</v>
      </c>
      <c r="B23" s="19" t="s">
        <v>11</v>
      </c>
      <c r="C23" s="19">
        <v>4</v>
      </c>
      <c r="D23" s="19" t="s">
        <v>352</v>
      </c>
      <c r="E23" s="19" t="s">
        <v>512</v>
      </c>
      <c r="F23" s="19"/>
      <c r="G23" s="20">
        <f>G24</f>
        <v>125</v>
      </c>
      <c r="H23" s="20">
        <f>H24</f>
        <v>125</v>
      </c>
      <c r="I23" s="20">
        <f>I24</f>
        <v>125</v>
      </c>
    </row>
    <row r="24" spans="1:9" s="26" customFormat="1" ht="25.5" x14ac:dyDescent="0.2">
      <c r="A24" s="28" t="s">
        <v>119</v>
      </c>
      <c r="B24" s="24" t="s">
        <v>11</v>
      </c>
      <c r="C24" s="24">
        <v>4</v>
      </c>
      <c r="D24" s="24" t="s">
        <v>352</v>
      </c>
      <c r="E24" s="24">
        <v>79050</v>
      </c>
      <c r="F24" s="24" t="s">
        <v>63</v>
      </c>
      <c r="G24" s="25">
        <f>' первое чтение вед стр-ра'!G49</f>
        <v>125</v>
      </c>
      <c r="H24" s="25">
        <f>' первое чтение вед стр-ра'!H49</f>
        <v>125</v>
      </c>
      <c r="I24" s="25">
        <f>' первое чтение вед стр-ра'!I49</f>
        <v>125</v>
      </c>
    </row>
    <row r="25" spans="1:9" s="76" customFormat="1" ht="25.5" x14ac:dyDescent="0.2">
      <c r="A25" s="131" t="s">
        <v>511</v>
      </c>
      <c r="B25" s="130" t="s">
        <v>11</v>
      </c>
      <c r="C25" s="129" t="s">
        <v>380</v>
      </c>
      <c r="D25" s="129"/>
      <c r="E25" s="129"/>
      <c r="F25" s="129"/>
      <c r="G25" s="128">
        <f>SUM(G26,G28,G31,G33,G35,G38,G41,G43)</f>
        <v>9504.6</v>
      </c>
      <c r="H25" s="128">
        <f t="shared" ref="H25:I25" si="0">SUM(H26,H28,H31,H33,H35,H38,H41,H43)</f>
        <v>4667.2</v>
      </c>
      <c r="I25" s="128">
        <f t="shared" si="0"/>
        <v>4667.2</v>
      </c>
    </row>
    <row r="26" spans="1:9" s="76" customFormat="1" x14ac:dyDescent="0.2">
      <c r="A26" s="67" t="s">
        <v>240</v>
      </c>
      <c r="B26" s="69" t="s">
        <v>11</v>
      </c>
      <c r="C26" s="69">
        <v>5</v>
      </c>
      <c r="D26" s="69" t="s">
        <v>352</v>
      </c>
      <c r="E26" s="69" t="s">
        <v>510</v>
      </c>
      <c r="F26" s="69"/>
      <c r="G26" s="70">
        <f>G27</f>
        <v>2000</v>
      </c>
      <c r="H26" s="70">
        <f>H27</f>
        <v>2000</v>
      </c>
      <c r="I26" s="70">
        <f>I27</f>
        <v>2000</v>
      </c>
    </row>
    <row r="27" spans="1:9" s="134" customFormat="1" ht="15.75" x14ac:dyDescent="0.25">
      <c r="A27" s="28" t="s">
        <v>70</v>
      </c>
      <c r="B27" s="24" t="s">
        <v>11</v>
      </c>
      <c r="C27" s="24">
        <v>5</v>
      </c>
      <c r="D27" s="24" t="s">
        <v>352</v>
      </c>
      <c r="E27" s="24" t="s">
        <v>510</v>
      </c>
      <c r="F27" s="24" t="s">
        <v>71</v>
      </c>
      <c r="G27" s="54">
        <f>' первое чтение вед стр-ра'!G36</f>
        <v>2000</v>
      </c>
      <c r="H27" s="54">
        <f>' первое чтение вед стр-ра'!H36</f>
        <v>2000</v>
      </c>
      <c r="I27" s="54">
        <f>' первое чтение вед стр-ра'!I36</f>
        <v>2000</v>
      </c>
    </row>
    <row r="28" spans="1:9" s="9" customFormat="1" x14ac:dyDescent="0.2">
      <c r="A28" s="18" t="s">
        <v>153</v>
      </c>
      <c r="B28" s="19" t="s">
        <v>11</v>
      </c>
      <c r="C28" s="19">
        <v>5</v>
      </c>
      <c r="D28" s="19" t="s">
        <v>352</v>
      </c>
      <c r="E28" s="19" t="s">
        <v>509</v>
      </c>
      <c r="F28" s="19"/>
      <c r="G28" s="20">
        <f>G30+G29</f>
        <v>112.3</v>
      </c>
      <c r="H28" s="20">
        <f>H30+H29</f>
        <v>0</v>
      </c>
      <c r="I28" s="20">
        <f>I30+I29</f>
        <v>0</v>
      </c>
    </row>
    <row r="29" spans="1:9" ht="25.5" x14ac:dyDescent="0.2">
      <c r="A29" s="30" t="s">
        <v>355</v>
      </c>
      <c r="B29" s="24" t="s">
        <v>11</v>
      </c>
      <c r="C29" s="24">
        <v>5</v>
      </c>
      <c r="D29" s="24" t="s">
        <v>352</v>
      </c>
      <c r="E29" s="24" t="s">
        <v>509</v>
      </c>
      <c r="F29" s="27" t="s">
        <v>66</v>
      </c>
      <c r="G29" s="25">
        <f>' первое чтение вед стр-ра'!G103</f>
        <v>0.6</v>
      </c>
      <c r="H29" s="25">
        <f>' первое чтение вед стр-ра'!H103</f>
        <v>0</v>
      </c>
      <c r="I29" s="25">
        <f>' первое чтение вед стр-ра'!I103</f>
        <v>0</v>
      </c>
    </row>
    <row r="30" spans="1:9" s="26" customFormat="1" x14ac:dyDescent="0.2">
      <c r="A30" s="28" t="s">
        <v>67</v>
      </c>
      <c r="B30" s="24" t="s">
        <v>11</v>
      </c>
      <c r="C30" s="24">
        <v>5</v>
      </c>
      <c r="D30" s="24" t="s">
        <v>352</v>
      </c>
      <c r="E30" s="24" t="s">
        <v>509</v>
      </c>
      <c r="F30" s="24" t="s">
        <v>68</v>
      </c>
      <c r="G30" s="25">
        <f>' первое чтение вед стр-ра'!G104</f>
        <v>111.7</v>
      </c>
      <c r="H30" s="25">
        <f>' первое чтение вед стр-ра'!H104</f>
        <v>0</v>
      </c>
      <c r="I30" s="25">
        <f>' первое чтение вед стр-ра'!I104</f>
        <v>0</v>
      </c>
    </row>
    <row r="31" spans="1:9" s="145" customFormat="1" ht="15" x14ac:dyDescent="0.2">
      <c r="A31" s="67" t="s">
        <v>195</v>
      </c>
      <c r="B31" s="69" t="s">
        <v>11</v>
      </c>
      <c r="C31" s="69">
        <v>5</v>
      </c>
      <c r="D31" s="69" t="s">
        <v>352</v>
      </c>
      <c r="E31" s="69" t="s">
        <v>508</v>
      </c>
      <c r="F31" s="69"/>
      <c r="G31" s="70">
        <f>G32</f>
        <v>3373.5</v>
      </c>
      <c r="H31" s="70">
        <f>H32</f>
        <v>0</v>
      </c>
      <c r="I31" s="70">
        <f>I32</f>
        <v>0</v>
      </c>
    </row>
    <row r="32" spans="1:9" s="66" customFormat="1" x14ac:dyDescent="0.2">
      <c r="A32" s="79" t="s">
        <v>67</v>
      </c>
      <c r="B32" s="74" t="s">
        <v>11</v>
      </c>
      <c r="C32" s="74">
        <v>5</v>
      </c>
      <c r="D32" s="74" t="s">
        <v>352</v>
      </c>
      <c r="E32" s="74" t="s">
        <v>508</v>
      </c>
      <c r="F32" s="74" t="s">
        <v>68</v>
      </c>
      <c r="G32" s="54">
        <f>' первое чтение вед стр-ра'!G39+' первое чтение вед стр-ра'!G198</f>
        <v>3373.5</v>
      </c>
      <c r="H32" s="54">
        <f>' первое чтение вед стр-ра'!H39+' первое чтение вед стр-ра'!H198</f>
        <v>0</v>
      </c>
      <c r="I32" s="54">
        <f>' первое чтение вед стр-ра'!I39+' первое чтение вед стр-ра'!I198</f>
        <v>0</v>
      </c>
    </row>
    <row r="33" spans="1:9" x14ac:dyDescent="0.2">
      <c r="A33" s="18" t="s">
        <v>241</v>
      </c>
      <c r="B33" s="19" t="s">
        <v>11</v>
      </c>
      <c r="C33" s="19">
        <v>5</v>
      </c>
      <c r="D33" s="19" t="s">
        <v>352</v>
      </c>
      <c r="E33" s="19" t="s">
        <v>507</v>
      </c>
      <c r="F33" s="19"/>
      <c r="G33" s="20">
        <f>G34</f>
        <v>1100</v>
      </c>
      <c r="H33" s="20">
        <f>H34</f>
        <v>1100</v>
      </c>
      <c r="I33" s="20">
        <f>I34</f>
        <v>1100</v>
      </c>
    </row>
    <row r="34" spans="1:9" x14ac:dyDescent="0.2">
      <c r="A34" s="28" t="s">
        <v>70</v>
      </c>
      <c r="B34" s="24" t="s">
        <v>11</v>
      </c>
      <c r="C34" s="24">
        <v>5</v>
      </c>
      <c r="D34" s="24" t="s">
        <v>352</v>
      </c>
      <c r="E34" s="24" t="s">
        <v>507</v>
      </c>
      <c r="F34" s="24" t="s">
        <v>71</v>
      </c>
      <c r="G34" s="25">
        <f>' первое чтение вед стр-ра'!G41</f>
        <v>1100</v>
      </c>
      <c r="H34" s="25">
        <f>' первое чтение вед стр-ра'!H41</f>
        <v>1100</v>
      </c>
      <c r="I34" s="25">
        <f>' первое чтение вед стр-ра'!I41</f>
        <v>1100</v>
      </c>
    </row>
    <row r="35" spans="1:9" s="26" customFormat="1" ht="25.5" x14ac:dyDescent="0.2">
      <c r="A35" s="18" t="s">
        <v>121</v>
      </c>
      <c r="B35" s="19" t="s">
        <v>11</v>
      </c>
      <c r="C35" s="19">
        <v>5</v>
      </c>
      <c r="D35" s="19" t="s">
        <v>352</v>
      </c>
      <c r="E35" s="19" t="s">
        <v>506</v>
      </c>
      <c r="F35" s="19"/>
      <c r="G35" s="20">
        <f>G36+G37</f>
        <v>486.20000000000005</v>
      </c>
      <c r="H35" s="20">
        <f>H36+H37</f>
        <v>486.20000000000005</v>
      </c>
      <c r="I35" s="20">
        <f>I36+I37</f>
        <v>486.20000000000005</v>
      </c>
    </row>
    <row r="36" spans="1:9" s="9" customFormat="1" ht="51" x14ac:dyDescent="0.2">
      <c r="A36" s="30" t="s">
        <v>64</v>
      </c>
      <c r="B36" s="24" t="s">
        <v>11</v>
      </c>
      <c r="C36" s="24">
        <v>5</v>
      </c>
      <c r="D36" s="24" t="s">
        <v>352</v>
      </c>
      <c r="E36" s="24">
        <v>71960</v>
      </c>
      <c r="F36" s="27" t="s">
        <v>65</v>
      </c>
      <c r="G36" s="25">
        <f>' первое чтение вед стр-ра'!G17</f>
        <v>457.1</v>
      </c>
      <c r="H36" s="25">
        <f>' первое чтение вед стр-ра'!H17</f>
        <v>457.1</v>
      </c>
      <c r="I36" s="25">
        <f>' первое чтение вед стр-ра'!I17</f>
        <v>457.1</v>
      </c>
    </row>
    <row r="37" spans="1:9" ht="25.5" x14ac:dyDescent="0.2">
      <c r="A37" s="30" t="s">
        <v>355</v>
      </c>
      <c r="B37" s="24" t="s">
        <v>11</v>
      </c>
      <c r="C37" s="24">
        <v>5</v>
      </c>
      <c r="D37" s="24" t="s">
        <v>352</v>
      </c>
      <c r="E37" s="24">
        <v>71960</v>
      </c>
      <c r="F37" s="27" t="s">
        <v>66</v>
      </c>
      <c r="G37" s="25">
        <f>' первое чтение вед стр-ра'!G18</f>
        <v>29.1</v>
      </c>
      <c r="H37" s="25">
        <f>' первое чтение вед стр-ра'!H18</f>
        <v>29.1</v>
      </c>
      <c r="I37" s="25">
        <f>' первое чтение вед стр-ра'!I18</f>
        <v>29.1</v>
      </c>
    </row>
    <row r="38" spans="1:9" s="71" customFormat="1" x14ac:dyDescent="0.2">
      <c r="A38" s="67" t="s">
        <v>122</v>
      </c>
      <c r="B38" s="69" t="s">
        <v>11</v>
      </c>
      <c r="C38" s="69">
        <v>5</v>
      </c>
      <c r="D38" s="69" t="s">
        <v>352</v>
      </c>
      <c r="E38" s="69">
        <v>79060</v>
      </c>
      <c r="F38" s="69"/>
      <c r="G38" s="70">
        <f>G39+G40</f>
        <v>115.00000000000001</v>
      </c>
      <c r="H38" s="70">
        <f>H39+H40</f>
        <v>115.00000000000001</v>
      </c>
      <c r="I38" s="70">
        <f>I39+I40</f>
        <v>115.00000000000001</v>
      </c>
    </row>
    <row r="39" spans="1:9" s="76" customFormat="1" ht="51" x14ac:dyDescent="0.2">
      <c r="A39" s="72" t="s">
        <v>64</v>
      </c>
      <c r="B39" s="74" t="s">
        <v>11</v>
      </c>
      <c r="C39" s="74">
        <v>5</v>
      </c>
      <c r="D39" s="74" t="s">
        <v>352</v>
      </c>
      <c r="E39" s="74">
        <v>79060</v>
      </c>
      <c r="F39" s="75" t="s">
        <v>65</v>
      </c>
      <c r="G39" s="54">
        <f>' первое чтение вед стр-ра'!G20</f>
        <v>113.10000000000001</v>
      </c>
      <c r="H39" s="54">
        <f>' первое чтение вед стр-ра'!H20</f>
        <v>113.10000000000001</v>
      </c>
      <c r="I39" s="54">
        <f>' первое чтение вед стр-ра'!I20</f>
        <v>113.10000000000001</v>
      </c>
    </row>
    <row r="40" spans="1:9" s="71" customFormat="1" ht="25.5" x14ac:dyDescent="0.2">
      <c r="A40" s="72" t="s">
        <v>355</v>
      </c>
      <c r="B40" s="74" t="s">
        <v>11</v>
      </c>
      <c r="C40" s="74">
        <v>5</v>
      </c>
      <c r="D40" s="74" t="s">
        <v>352</v>
      </c>
      <c r="E40" s="74">
        <v>79060</v>
      </c>
      <c r="F40" s="75" t="s">
        <v>66</v>
      </c>
      <c r="G40" s="54">
        <f>' первое чтение вед стр-ра'!G21</f>
        <v>1.9</v>
      </c>
      <c r="H40" s="54">
        <f>' первое чтение вед стр-ра'!H21</f>
        <v>1.9</v>
      </c>
      <c r="I40" s="54">
        <f>' первое чтение вед стр-ра'!I21</f>
        <v>1.9</v>
      </c>
    </row>
    <row r="41" spans="1:9" s="71" customFormat="1" ht="25.5" x14ac:dyDescent="0.2">
      <c r="A41" s="81" t="s">
        <v>128</v>
      </c>
      <c r="B41" s="69" t="s">
        <v>11</v>
      </c>
      <c r="C41" s="69">
        <v>5</v>
      </c>
      <c r="D41" s="69" t="s">
        <v>352</v>
      </c>
      <c r="E41" s="69" t="s">
        <v>505</v>
      </c>
      <c r="F41" s="69"/>
      <c r="G41" s="70">
        <f>G42</f>
        <v>966</v>
      </c>
      <c r="H41" s="70">
        <f>H42</f>
        <v>966</v>
      </c>
      <c r="I41" s="70">
        <f>I42</f>
        <v>966</v>
      </c>
    </row>
    <row r="42" spans="1:9" s="66" customFormat="1" x14ac:dyDescent="0.2">
      <c r="A42" s="79" t="s">
        <v>67</v>
      </c>
      <c r="B42" s="74" t="s">
        <v>11</v>
      </c>
      <c r="C42" s="74">
        <v>5</v>
      </c>
      <c r="D42" s="74" t="s">
        <v>352</v>
      </c>
      <c r="E42" s="69" t="s">
        <v>505</v>
      </c>
      <c r="F42" s="74" t="s">
        <v>68</v>
      </c>
      <c r="G42" s="54">
        <f>' первое чтение вед стр-ра'!G51</f>
        <v>966</v>
      </c>
      <c r="H42" s="54">
        <f>' первое чтение вед стр-ра'!H51</f>
        <v>966</v>
      </c>
      <c r="I42" s="54">
        <f>' первое чтение вед стр-ра'!I51</f>
        <v>966</v>
      </c>
    </row>
    <row r="43" spans="1:9" s="66" customFormat="1" ht="38.25" x14ac:dyDescent="0.2">
      <c r="A43" s="67" t="s">
        <v>568</v>
      </c>
      <c r="B43" s="74" t="s">
        <v>11</v>
      </c>
      <c r="C43" s="74" t="s">
        <v>380</v>
      </c>
      <c r="D43" s="74" t="s">
        <v>352</v>
      </c>
      <c r="E43" s="69" t="s">
        <v>570</v>
      </c>
      <c r="F43" s="74"/>
      <c r="G43" s="54">
        <f>G44</f>
        <v>1351.6</v>
      </c>
      <c r="H43" s="54">
        <f t="shared" ref="H43:I43" si="1">H44</f>
        <v>0</v>
      </c>
      <c r="I43" s="54">
        <f t="shared" si="1"/>
        <v>0</v>
      </c>
    </row>
    <row r="44" spans="1:9" s="66" customFormat="1" x14ac:dyDescent="0.2">
      <c r="A44" s="79" t="s">
        <v>70</v>
      </c>
      <c r="B44" s="74" t="s">
        <v>11</v>
      </c>
      <c r="C44" s="74" t="s">
        <v>380</v>
      </c>
      <c r="D44" s="74" t="s">
        <v>352</v>
      </c>
      <c r="E44" s="69" t="s">
        <v>570</v>
      </c>
      <c r="F44" s="74" t="s">
        <v>71</v>
      </c>
      <c r="G44" s="54">
        <f>' первое чтение вед стр-ра'!G108</f>
        <v>1351.6</v>
      </c>
      <c r="H44" s="54">
        <f>' первое чтение вед стр-ра'!H108</f>
        <v>0</v>
      </c>
      <c r="I44" s="54">
        <f>' первое чтение вед стр-ра'!I108</f>
        <v>0</v>
      </c>
    </row>
    <row r="45" spans="1:9" s="26" customFormat="1" ht="38.25" x14ac:dyDescent="0.2">
      <c r="A45" s="39" t="s">
        <v>504</v>
      </c>
      <c r="B45" s="40" t="s">
        <v>13</v>
      </c>
      <c r="C45" s="40"/>
      <c r="D45" s="40"/>
      <c r="E45" s="40"/>
      <c r="F45" s="40"/>
      <c r="G45" s="38">
        <f>SUM(G46,G48,G50,G52,G54,G56,G60,G62,G64)</f>
        <v>17204.5</v>
      </c>
      <c r="H45" s="38">
        <f t="shared" ref="H45:I45" si="2">SUM(H46,H48,H50,H52,H54,H56,H60,H62,H64)</f>
        <v>9065.2000000000007</v>
      </c>
      <c r="I45" s="38">
        <f t="shared" si="2"/>
        <v>9065.2000000000007</v>
      </c>
    </row>
    <row r="46" spans="1:9" x14ac:dyDescent="0.2">
      <c r="A46" s="18" t="s">
        <v>180</v>
      </c>
      <c r="B46" s="19" t="s">
        <v>13</v>
      </c>
      <c r="C46" s="19">
        <v>0</v>
      </c>
      <c r="D46" s="19" t="s">
        <v>352</v>
      </c>
      <c r="E46" s="19" t="s">
        <v>503</v>
      </c>
      <c r="F46" s="19"/>
      <c r="G46" s="20">
        <f>G47</f>
        <v>1500</v>
      </c>
      <c r="H46" s="20">
        <f>H47</f>
        <v>0</v>
      </c>
      <c r="I46" s="20">
        <f>I47</f>
        <v>0</v>
      </c>
    </row>
    <row r="47" spans="1:9" s="26" customFormat="1" ht="25.5" x14ac:dyDescent="0.2">
      <c r="A47" s="30" t="s">
        <v>355</v>
      </c>
      <c r="B47" s="24" t="s">
        <v>13</v>
      </c>
      <c r="C47" s="24">
        <v>0</v>
      </c>
      <c r="D47" s="24" t="s">
        <v>352</v>
      </c>
      <c r="E47" s="24" t="s">
        <v>503</v>
      </c>
      <c r="F47" s="27" t="s">
        <v>66</v>
      </c>
      <c r="G47" s="25">
        <f>' первое чтение вед стр-ра'!G162</f>
        <v>1500</v>
      </c>
      <c r="H47" s="25">
        <f>' первое чтение вед стр-ра'!H162</f>
        <v>0</v>
      </c>
      <c r="I47" s="25">
        <f>' первое чтение вед стр-ра'!I162</f>
        <v>0</v>
      </c>
    </row>
    <row r="48" spans="1:9" s="26" customFormat="1" ht="38.25" x14ac:dyDescent="0.2">
      <c r="A48" s="18" t="s">
        <v>181</v>
      </c>
      <c r="B48" s="19" t="s">
        <v>13</v>
      </c>
      <c r="C48" s="19">
        <v>0</v>
      </c>
      <c r="D48" s="19" t="s">
        <v>352</v>
      </c>
      <c r="E48" s="19" t="s">
        <v>502</v>
      </c>
      <c r="F48" s="19"/>
      <c r="G48" s="20">
        <f>G49</f>
        <v>500</v>
      </c>
      <c r="H48" s="20">
        <f>H49</f>
        <v>0</v>
      </c>
      <c r="I48" s="20">
        <f>I49</f>
        <v>0</v>
      </c>
    </row>
    <row r="49" spans="1:11" ht="25.5" x14ac:dyDescent="0.2">
      <c r="A49" s="30" t="s">
        <v>355</v>
      </c>
      <c r="B49" s="24" t="s">
        <v>13</v>
      </c>
      <c r="C49" s="24">
        <v>0</v>
      </c>
      <c r="D49" s="24" t="s">
        <v>352</v>
      </c>
      <c r="E49" s="24" t="s">
        <v>502</v>
      </c>
      <c r="F49" s="27" t="s">
        <v>66</v>
      </c>
      <c r="G49" s="25">
        <f>' первое чтение вед стр-ра'!G164</f>
        <v>500</v>
      </c>
      <c r="H49" s="25">
        <f>' первое чтение вед стр-ра'!H164</f>
        <v>0</v>
      </c>
      <c r="I49" s="25">
        <f>' первое чтение вед стр-ра'!I164</f>
        <v>0</v>
      </c>
    </row>
    <row r="50" spans="1:11" s="26" customFormat="1" ht="25.5" x14ac:dyDescent="0.2">
      <c r="A50" s="18" t="s">
        <v>166</v>
      </c>
      <c r="B50" s="5" t="s">
        <v>13</v>
      </c>
      <c r="C50" s="5">
        <v>0</v>
      </c>
      <c r="D50" s="5" t="s">
        <v>352</v>
      </c>
      <c r="E50" s="5" t="s">
        <v>501</v>
      </c>
      <c r="F50" s="5"/>
      <c r="G50" s="6">
        <f>G51</f>
        <v>500</v>
      </c>
      <c r="H50" s="6">
        <f>H51</f>
        <v>0</v>
      </c>
      <c r="I50" s="6">
        <f>I51</f>
        <v>0</v>
      </c>
    </row>
    <row r="51" spans="1:11" s="26" customFormat="1" ht="25.5" x14ac:dyDescent="0.2">
      <c r="A51" s="30" t="s">
        <v>355</v>
      </c>
      <c r="B51" s="24" t="s">
        <v>13</v>
      </c>
      <c r="C51" s="24">
        <v>0</v>
      </c>
      <c r="D51" s="24" t="s">
        <v>352</v>
      </c>
      <c r="E51" s="24" t="s">
        <v>501</v>
      </c>
      <c r="F51" s="27" t="s">
        <v>66</v>
      </c>
      <c r="G51" s="25">
        <f>' первое чтение вед стр-ра'!G144</f>
        <v>500</v>
      </c>
      <c r="H51" s="25">
        <f>' первое чтение вед стр-ра'!H144</f>
        <v>0</v>
      </c>
      <c r="I51" s="25">
        <f>' первое чтение вед стр-ра'!I144</f>
        <v>0</v>
      </c>
    </row>
    <row r="52" spans="1:11" s="26" customFormat="1" x14ac:dyDescent="0.2">
      <c r="A52" s="18" t="s">
        <v>167</v>
      </c>
      <c r="B52" s="5" t="s">
        <v>13</v>
      </c>
      <c r="C52" s="5">
        <v>0</v>
      </c>
      <c r="D52" s="5" t="s">
        <v>352</v>
      </c>
      <c r="E52" s="5" t="s">
        <v>500</v>
      </c>
      <c r="F52" s="5"/>
      <c r="G52" s="6">
        <f>G53</f>
        <v>300</v>
      </c>
      <c r="H52" s="6">
        <f>H53</f>
        <v>0</v>
      </c>
      <c r="I52" s="6">
        <f>I53</f>
        <v>0</v>
      </c>
      <c r="J52" s="21"/>
      <c r="K52" s="21"/>
    </row>
    <row r="53" spans="1:11" ht="25.5" x14ac:dyDescent="0.2">
      <c r="A53" s="30" t="s">
        <v>355</v>
      </c>
      <c r="B53" s="24" t="s">
        <v>13</v>
      </c>
      <c r="C53" s="24">
        <v>0</v>
      </c>
      <c r="D53" s="24" t="s">
        <v>352</v>
      </c>
      <c r="E53" s="24" t="s">
        <v>500</v>
      </c>
      <c r="F53" s="27" t="s">
        <v>66</v>
      </c>
      <c r="G53" s="25">
        <f>' первое чтение вед стр-ра'!G146</f>
        <v>300</v>
      </c>
      <c r="H53" s="25">
        <f>' первое чтение вед стр-ра'!H146</f>
        <v>0</v>
      </c>
      <c r="I53" s="25">
        <f>' первое чтение вед стр-ра'!I146</f>
        <v>0</v>
      </c>
    </row>
    <row r="54" spans="1:11" s="26" customFormat="1" ht="25.5" x14ac:dyDescent="0.2">
      <c r="A54" s="18" t="s">
        <v>169</v>
      </c>
      <c r="B54" s="19" t="s">
        <v>13</v>
      </c>
      <c r="C54" s="19" t="s">
        <v>353</v>
      </c>
      <c r="D54" s="19" t="s">
        <v>352</v>
      </c>
      <c r="E54" s="19" t="s">
        <v>499</v>
      </c>
      <c r="F54" s="19"/>
      <c r="G54" s="20">
        <f>G55</f>
        <v>200</v>
      </c>
      <c r="H54" s="20">
        <f>H55</f>
        <v>0</v>
      </c>
      <c r="I54" s="20">
        <f>I55</f>
        <v>0</v>
      </c>
    </row>
    <row r="55" spans="1:11" s="26" customFormat="1" ht="25.5" x14ac:dyDescent="0.2">
      <c r="A55" s="30" t="s">
        <v>355</v>
      </c>
      <c r="B55" s="24" t="s">
        <v>13</v>
      </c>
      <c r="C55" s="24">
        <v>0</v>
      </c>
      <c r="D55" s="24" t="s">
        <v>352</v>
      </c>
      <c r="E55" s="24" t="s">
        <v>499</v>
      </c>
      <c r="F55" s="27" t="s">
        <v>66</v>
      </c>
      <c r="G55" s="25">
        <f>' первое чтение вед стр-ра'!G148</f>
        <v>200</v>
      </c>
      <c r="H55" s="25">
        <f>' первое чтение вед стр-ра'!H148</f>
        <v>0</v>
      </c>
      <c r="I55" s="25">
        <f>' первое чтение вед стр-ра'!I148</f>
        <v>0</v>
      </c>
      <c r="J55" s="21"/>
      <c r="K55" s="21"/>
    </row>
    <row r="56" spans="1:11" x14ac:dyDescent="0.2">
      <c r="A56" s="18" t="s">
        <v>171</v>
      </c>
      <c r="B56" s="5" t="s">
        <v>13</v>
      </c>
      <c r="C56" s="5">
        <v>0</v>
      </c>
      <c r="D56" s="5" t="s">
        <v>352</v>
      </c>
      <c r="E56" s="5" t="s">
        <v>498</v>
      </c>
      <c r="F56" s="5"/>
      <c r="G56" s="6">
        <f>G59+G57+G58</f>
        <v>3782.7</v>
      </c>
      <c r="H56" s="6">
        <f t="shared" ref="H56:I56" si="3">H59+H57+H58</f>
        <v>0</v>
      </c>
      <c r="I56" s="6">
        <f t="shared" si="3"/>
        <v>0</v>
      </c>
    </row>
    <row r="57" spans="1:11" s="26" customFormat="1" ht="25.5" x14ac:dyDescent="0.2">
      <c r="A57" s="30" t="s">
        <v>355</v>
      </c>
      <c r="B57" s="24" t="s">
        <v>13</v>
      </c>
      <c r="C57" s="24">
        <v>0</v>
      </c>
      <c r="D57" s="24" t="s">
        <v>352</v>
      </c>
      <c r="E57" s="24" t="s">
        <v>498</v>
      </c>
      <c r="F57" s="27" t="s">
        <v>66</v>
      </c>
      <c r="G57" s="25">
        <f>' первое чтение вед стр-ра'!G150</f>
        <v>2578</v>
      </c>
      <c r="H57" s="25">
        <f>' первое чтение вед стр-ра'!H150</f>
        <v>0</v>
      </c>
      <c r="I57" s="25">
        <f>' первое чтение вед стр-ра'!I150</f>
        <v>0</v>
      </c>
      <c r="J57" s="21"/>
      <c r="K57" s="21"/>
    </row>
    <row r="58" spans="1:11" s="26" customFormat="1" ht="25.5" x14ac:dyDescent="0.2">
      <c r="A58" s="28" t="s">
        <v>119</v>
      </c>
      <c r="B58" s="24" t="s">
        <v>13</v>
      </c>
      <c r="C58" s="24">
        <v>0</v>
      </c>
      <c r="D58" s="24" t="s">
        <v>352</v>
      </c>
      <c r="E58" s="24" t="s">
        <v>498</v>
      </c>
      <c r="F58" s="27" t="s">
        <v>63</v>
      </c>
      <c r="G58" s="25">
        <f>' первое чтение вед стр-ра'!G55</f>
        <v>1073.8</v>
      </c>
      <c r="H58" s="25">
        <f>' первое чтение вед стр-ра'!H55</f>
        <v>0</v>
      </c>
      <c r="I58" s="25">
        <f>' первое чтение вед стр-ра'!I55</f>
        <v>0</v>
      </c>
      <c r="J58" s="21"/>
      <c r="K58" s="21"/>
    </row>
    <row r="59" spans="1:11" s="26" customFormat="1" x14ac:dyDescent="0.2">
      <c r="A59" s="28" t="s">
        <v>70</v>
      </c>
      <c r="B59" s="24" t="s">
        <v>13</v>
      </c>
      <c r="C59" s="24">
        <v>0</v>
      </c>
      <c r="D59" s="24" t="s">
        <v>352</v>
      </c>
      <c r="E59" s="24" t="s">
        <v>498</v>
      </c>
      <c r="F59" s="27" t="s">
        <v>71</v>
      </c>
      <c r="G59" s="25">
        <f>' первое чтение вед стр-ра'!G151</f>
        <v>130.9</v>
      </c>
      <c r="H59" s="25">
        <f>' первое чтение вед стр-ра'!H151</f>
        <v>0</v>
      </c>
      <c r="I59" s="25">
        <f>' первое чтение вед стр-ра'!I151</f>
        <v>0</v>
      </c>
      <c r="J59" s="21"/>
      <c r="K59" s="21"/>
    </row>
    <row r="60" spans="1:11" s="9" customFormat="1" x14ac:dyDescent="0.2">
      <c r="A60" s="18" t="s">
        <v>174</v>
      </c>
      <c r="B60" s="5" t="s">
        <v>13</v>
      </c>
      <c r="C60" s="5">
        <v>0</v>
      </c>
      <c r="D60" s="5" t="s">
        <v>352</v>
      </c>
      <c r="E60" s="5" t="s">
        <v>497</v>
      </c>
      <c r="F60" s="5"/>
      <c r="G60" s="6">
        <f>G61</f>
        <v>500</v>
      </c>
      <c r="H60" s="6">
        <f>H61</f>
        <v>0</v>
      </c>
      <c r="I60" s="6">
        <f>I61</f>
        <v>0</v>
      </c>
    </row>
    <row r="61" spans="1:11" s="7" customFormat="1" ht="25.5" x14ac:dyDescent="0.2">
      <c r="A61" s="30" t="s">
        <v>355</v>
      </c>
      <c r="B61" s="24" t="s">
        <v>13</v>
      </c>
      <c r="C61" s="24">
        <v>0</v>
      </c>
      <c r="D61" s="24" t="s">
        <v>352</v>
      </c>
      <c r="E61" s="24" t="s">
        <v>497</v>
      </c>
      <c r="F61" s="27" t="s">
        <v>66</v>
      </c>
      <c r="G61" s="25">
        <f>' первое чтение вед стр-ра'!G153</f>
        <v>500</v>
      </c>
      <c r="H61" s="25">
        <f>' первое чтение вед стр-ра'!H153</f>
        <v>0</v>
      </c>
      <c r="I61" s="25">
        <f>' первое чтение вед стр-ра'!I153</f>
        <v>0</v>
      </c>
    </row>
    <row r="62" spans="1:11" s="7" customFormat="1" x14ac:dyDescent="0.2">
      <c r="A62" s="18" t="s">
        <v>175</v>
      </c>
      <c r="B62" s="5" t="s">
        <v>13</v>
      </c>
      <c r="C62" s="5">
        <v>0</v>
      </c>
      <c r="D62" s="5" t="s">
        <v>352</v>
      </c>
      <c r="E62" s="5" t="s">
        <v>496</v>
      </c>
      <c r="F62" s="5"/>
      <c r="G62" s="6">
        <f>G63</f>
        <v>169</v>
      </c>
      <c r="H62" s="6">
        <f t="shared" ref="H62:I62" si="4">H63</f>
        <v>0</v>
      </c>
      <c r="I62" s="6">
        <f t="shared" si="4"/>
        <v>0</v>
      </c>
    </row>
    <row r="63" spans="1:11" s="7" customFormat="1" ht="25.5" x14ac:dyDescent="0.2">
      <c r="A63" s="30" t="s">
        <v>355</v>
      </c>
      <c r="B63" s="24" t="s">
        <v>13</v>
      </c>
      <c r="C63" s="24">
        <v>0</v>
      </c>
      <c r="D63" s="24" t="s">
        <v>352</v>
      </c>
      <c r="E63" s="24" t="s">
        <v>496</v>
      </c>
      <c r="F63" s="27" t="s">
        <v>66</v>
      </c>
      <c r="G63" s="25">
        <f>' первое чтение вед стр-ра'!G155</f>
        <v>169</v>
      </c>
      <c r="H63" s="25">
        <f>' первое чтение вед стр-ра'!H155</f>
        <v>0</v>
      </c>
      <c r="I63" s="25">
        <f>' первое чтение вед стр-ра'!I155</f>
        <v>0</v>
      </c>
    </row>
    <row r="64" spans="1:11" s="80" customFormat="1" ht="25.5" x14ac:dyDescent="0.2">
      <c r="A64" s="67" t="s">
        <v>177</v>
      </c>
      <c r="B64" s="82" t="s">
        <v>13</v>
      </c>
      <c r="C64" s="82">
        <v>0</v>
      </c>
      <c r="D64" s="82" t="s">
        <v>352</v>
      </c>
      <c r="E64" s="82" t="s">
        <v>495</v>
      </c>
      <c r="F64" s="69"/>
      <c r="G64" s="70">
        <f>G65+G66</f>
        <v>9752.8000000000011</v>
      </c>
      <c r="H64" s="70">
        <f t="shared" ref="H64:I64" si="5">H65+H66</f>
        <v>9065.2000000000007</v>
      </c>
      <c r="I64" s="70">
        <f t="shared" si="5"/>
        <v>9065.2000000000007</v>
      </c>
    </row>
    <row r="65" spans="1:11" s="7" customFormat="1" ht="51" x14ac:dyDescent="0.2">
      <c r="A65" s="30" t="s">
        <v>64</v>
      </c>
      <c r="B65" s="24" t="s">
        <v>13</v>
      </c>
      <c r="C65" s="24">
        <v>0</v>
      </c>
      <c r="D65" s="24" t="s">
        <v>352</v>
      </c>
      <c r="E65" s="24" t="s">
        <v>495</v>
      </c>
      <c r="F65" s="27" t="s">
        <v>65</v>
      </c>
      <c r="G65" s="25">
        <f>' первое чтение вед стр-ра'!G157</f>
        <v>8926.6</v>
      </c>
      <c r="H65" s="25">
        <f>' первое чтение вед стр-ра'!H157</f>
        <v>8926.6</v>
      </c>
      <c r="I65" s="25">
        <f>' первое чтение вед стр-ра'!I157</f>
        <v>8926.6</v>
      </c>
    </row>
    <row r="66" spans="1:11" s="66" customFormat="1" ht="24.75" customHeight="1" x14ac:dyDescent="0.2">
      <c r="A66" s="72" t="s">
        <v>355</v>
      </c>
      <c r="B66" s="74" t="s">
        <v>13</v>
      </c>
      <c r="C66" s="74">
        <v>0</v>
      </c>
      <c r="D66" s="74" t="s">
        <v>352</v>
      </c>
      <c r="E66" s="74" t="s">
        <v>495</v>
      </c>
      <c r="F66" s="75" t="s">
        <v>66</v>
      </c>
      <c r="G66" s="25">
        <f>' первое чтение вед стр-ра'!G158</f>
        <v>826.2</v>
      </c>
      <c r="H66" s="25">
        <f>' первое чтение вед стр-ра'!H158</f>
        <v>138.6</v>
      </c>
      <c r="I66" s="25">
        <f>' первое чтение вед стр-ра'!I158</f>
        <v>138.6</v>
      </c>
    </row>
    <row r="67" spans="1:11" s="26" customFormat="1" ht="38.25" x14ac:dyDescent="0.2">
      <c r="A67" s="39" t="s">
        <v>494</v>
      </c>
      <c r="B67" s="40" t="s">
        <v>15</v>
      </c>
      <c r="C67" s="40"/>
      <c r="D67" s="40"/>
      <c r="E67" s="40"/>
      <c r="F67" s="40"/>
      <c r="G67" s="38">
        <f>SUM(G68,G71,G79)</f>
        <v>44488.200000000004</v>
      </c>
      <c r="H67" s="38">
        <f t="shared" ref="H67:I67" si="6">SUM(H68,H71,H79)</f>
        <v>25763.5</v>
      </c>
      <c r="I67" s="38">
        <f t="shared" si="6"/>
        <v>25684.2</v>
      </c>
    </row>
    <row r="68" spans="1:11" s="85" customFormat="1" ht="51" x14ac:dyDescent="0.2">
      <c r="A68" s="131" t="s">
        <v>493</v>
      </c>
      <c r="B68" s="129" t="s">
        <v>15</v>
      </c>
      <c r="C68" s="129" t="s">
        <v>395</v>
      </c>
      <c r="D68" s="129"/>
      <c r="E68" s="129"/>
      <c r="F68" s="129"/>
      <c r="G68" s="128">
        <f>SUM(G69)</f>
        <v>15854.8</v>
      </c>
      <c r="H68" s="128">
        <f t="shared" ref="H68:I68" si="7">SUM(H69)</f>
        <v>14784.4</v>
      </c>
      <c r="I68" s="128">
        <f t="shared" si="7"/>
        <v>14705.1</v>
      </c>
    </row>
    <row r="69" spans="1:11" s="9" customFormat="1" ht="63.75" x14ac:dyDescent="0.2">
      <c r="A69" s="18" t="s">
        <v>550</v>
      </c>
      <c r="B69" s="24" t="s">
        <v>15</v>
      </c>
      <c r="C69" s="24" t="s">
        <v>395</v>
      </c>
      <c r="D69" s="24" t="s">
        <v>352</v>
      </c>
      <c r="E69" s="24" t="s">
        <v>549</v>
      </c>
      <c r="F69" s="27"/>
      <c r="G69" s="25">
        <f>G70</f>
        <v>15854.8</v>
      </c>
      <c r="H69" s="25">
        <f t="shared" ref="H69:I69" si="8">H70</f>
        <v>14784.4</v>
      </c>
      <c r="I69" s="25">
        <f t="shared" si="8"/>
        <v>14705.1</v>
      </c>
    </row>
    <row r="70" spans="1:11" s="9" customFormat="1" ht="25.5" x14ac:dyDescent="0.2">
      <c r="A70" s="28" t="s">
        <v>119</v>
      </c>
      <c r="B70" s="24" t="s">
        <v>15</v>
      </c>
      <c r="C70" s="24" t="s">
        <v>395</v>
      </c>
      <c r="D70" s="24" t="s">
        <v>352</v>
      </c>
      <c r="E70" s="24" t="s">
        <v>549</v>
      </c>
      <c r="F70" s="27" t="s">
        <v>63</v>
      </c>
      <c r="G70" s="25">
        <f>' первое чтение вед стр-ра'!G64</f>
        <v>15854.8</v>
      </c>
      <c r="H70" s="25">
        <f>' первое чтение вед стр-ра'!H64</f>
        <v>14784.4</v>
      </c>
      <c r="I70" s="25">
        <f>' первое чтение вед стр-ра'!I64</f>
        <v>14705.1</v>
      </c>
    </row>
    <row r="71" spans="1:11" ht="38.25" x14ac:dyDescent="0.2">
      <c r="A71" s="127" t="s">
        <v>492</v>
      </c>
      <c r="B71" s="126" t="s">
        <v>15</v>
      </c>
      <c r="C71" s="126" t="s">
        <v>390</v>
      </c>
      <c r="D71" s="126"/>
      <c r="E71" s="126"/>
      <c r="F71" s="126"/>
      <c r="G71" s="125">
        <f>SUM(G72,G75,G77)</f>
        <v>20563.800000000003</v>
      </c>
      <c r="H71" s="125">
        <f t="shared" ref="H71:I71" si="9">SUM(H72,H75,H77)</f>
        <v>3167.3</v>
      </c>
      <c r="I71" s="125">
        <f t="shared" si="9"/>
        <v>3167.3</v>
      </c>
    </row>
    <row r="72" spans="1:11" s="26" customFormat="1" ht="25.5" x14ac:dyDescent="0.2">
      <c r="A72" s="17" t="s">
        <v>135</v>
      </c>
      <c r="B72" s="19" t="s">
        <v>15</v>
      </c>
      <c r="C72" s="19">
        <v>2</v>
      </c>
      <c r="D72" s="19" t="s">
        <v>352</v>
      </c>
      <c r="E72" s="19" t="s">
        <v>491</v>
      </c>
      <c r="F72" s="5"/>
      <c r="G72" s="6">
        <f>G73+G74</f>
        <v>20308.800000000003</v>
      </c>
      <c r="H72" s="6">
        <f t="shared" ref="H72:I72" si="10">H73+H74</f>
        <v>3167.3</v>
      </c>
      <c r="I72" s="6">
        <f t="shared" si="10"/>
        <v>3167.3</v>
      </c>
      <c r="J72" s="21"/>
      <c r="K72" s="21"/>
    </row>
    <row r="73" spans="1:11" s="76" customFormat="1" ht="25.5" x14ac:dyDescent="0.2">
      <c r="A73" s="72" t="s">
        <v>355</v>
      </c>
      <c r="B73" s="74" t="s">
        <v>15</v>
      </c>
      <c r="C73" s="74">
        <v>2</v>
      </c>
      <c r="D73" s="74" t="s">
        <v>352</v>
      </c>
      <c r="E73" s="74" t="s">
        <v>491</v>
      </c>
      <c r="F73" s="75" t="s">
        <v>66</v>
      </c>
      <c r="G73" s="54">
        <f>' первое чтение вед стр-ра'!G203+' первое чтение вед стр-ра'!G218+' первое чтение вед стр-ра'!G27</f>
        <v>1948.8999999999999</v>
      </c>
      <c r="H73" s="54">
        <f>' первое чтение вед стр-ра'!H203+' первое чтение вед стр-ра'!H218+' первое чтение вед стр-ра'!H27</f>
        <v>465.70000000000005</v>
      </c>
      <c r="I73" s="54">
        <f>' первое чтение вед стр-ра'!I203+' первое чтение вед стр-ра'!I218+' первое чтение вед стр-ра'!I27</f>
        <v>465.70000000000005</v>
      </c>
    </row>
    <row r="74" spans="1:11" s="26" customFormat="1" ht="25.5" x14ac:dyDescent="0.2">
      <c r="A74" s="28" t="s">
        <v>119</v>
      </c>
      <c r="B74" s="24" t="s">
        <v>15</v>
      </c>
      <c r="C74" s="24">
        <v>2</v>
      </c>
      <c r="D74" s="24" t="s">
        <v>352</v>
      </c>
      <c r="E74" s="24" t="s">
        <v>491</v>
      </c>
      <c r="F74" s="27" t="s">
        <v>63</v>
      </c>
      <c r="G74" s="54">
        <f>' первое чтение вед стр-ра'!G45+' первое чтение вед стр-ра'!G121+' первое чтение вед стр-ра'!G204+' первое чтение вед стр-ра'!G219+' первое чтение вед стр-ра'!G249+' первое чтение вед стр-ра'!G256+' первое чтение вед стр-ра'!G341+' первое чтение вед стр-ра'!G353+' первое чтение вед стр-ра'!G66</f>
        <v>18359.900000000001</v>
      </c>
      <c r="H74" s="54">
        <f>' первое чтение вед стр-ра'!H45+' первое чтение вед стр-ра'!H121+' первое чтение вед стр-ра'!H204+' первое чтение вед стр-ра'!H219+' первое чтение вед стр-ра'!H249+' первое чтение вед стр-ра'!H256+' первое чтение вед стр-ра'!H341+' первое чтение вед стр-ра'!H353+' первое чтение вед стр-ра'!H66</f>
        <v>2701.6000000000004</v>
      </c>
      <c r="I74" s="54">
        <f>' первое чтение вед стр-ра'!I45+' первое чтение вед стр-ра'!I121+' первое чтение вед стр-ра'!I204+' первое чтение вед стр-ра'!I219+' первое чтение вед стр-ра'!I249+' первое чтение вед стр-ра'!I256+' первое чтение вед стр-ра'!I341+' первое чтение вед стр-ра'!I353+' первое чтение вед стр-ра'!I66</f>
        <v>2701.6000000000004</v>
      </c>
    </row>
    <row r="75" spans="1:11" s="76" customFormat="1" x14ac:dyDescent="0.2">
      <c r="A75" s="81" t="s">
        <v>136</v>
      </c>
      <c r="B75" s="69" t="s">
        <v>15</v>
      </c>
      <c r="C75" s="69">
        <v>2</v>
      </c>
      <c r="D75" s="69" t="s">
        <v>352</v>
      </c>
      <c r="E75" s="69" t="s">
        <v>490</v>
      </c>
      <c r="F75" s="82"/>
      <c r="G75" s="83">
        <f>G76</f>
        <v>220</v>
      </c>
      <c r="H75" s="83">
        <f t="shared" ref="H75:I75" si="11">H76</f>
        <v>0</v>
      </c>
      <c r="I75" s="83">
        <f t="shared" si="11"/>
        <v>0</v>
      </c>
    </row>
    <row r="76" spans="1:11" s="76" customFormat="1" ht="25.5" x14ac:dyDescent="0.2">
      <c r="A76" s="72" t="s">
        <v>119</v>
      </c>
      <c r="B76" s="74" t="s">
        <v>15</v>
      </c>
      <c r="C76" s="74" t="s">
        <v>390</v>
      </c>
      <c r="D76" s="74" t="s">
        <v>352</v>
      </c>
      <c r="E76" s="74" t="s">
        <v>490</v>
      </c>
      <c r="F76" s="75" t="s">
        <v>63</v>
      </c>
      <c r="G76" s="54">
        <f>' первое чтение вед стр-ра'!G68</f>
        <v>220</v>
      </c>
      <c r="H76" s="54">
        <f>' первое чтение вед стр-ра'!H68</f>
        <v>0</v>
      </c>
      <c r="I76" s="54">
        <f>' первое чтение вед стр-ра'!I68</f>
        <v>0</v>
      </c>
    </row>
    <row r="77" spans="1:11" ht="25.5" x14ac:dyDescent="0.2">
      <c r="A77" s="17" t="s">
        <v>324</v>
      </c>
      <c r="B77" s="19" t="s">
        <v>15</v>
      </c>
      <c r="C77" s="19">
        <v>2</v>
      </c>
      <c r="D77" s="19" t="s">
        <v>352</v>
      </c>
      <c r="E77" s="19" t="s">
        <v>489</v>
      </c>
      <c r="F77" s="5"/>
      <c r="G77" s="6">
        <f>G78</f>
        <v>35</v>
      </c>
      <c r="H77" s="6">
        <f t="shared" ref="H77:I77" si="12">H78</f>
        <v>0</v>
      </c>
      <c r="I77" s="6">
        <f t="shared" si="12"/>
        <v>0</v>
      </c>
    </row>
    <row r="78" spans="1:11" s="194" customFormat="1" ht="25.5" x14ac:dyDescent="0.2">
      <c r="A78" s="28" t="s">
        <v>119</v>
      </c>
      <c r="B78" s="19" t="s">
        <v>15</v>
      </c>
      <c r="C78" s="19" t="s">
        <v>390</v>
      </c>
      <c r="D78" s="19" t="s">
        <v>352</v>
      </c>
      <c r="E78" s="19" t="s">
        <v>489</v>
      </c>
      <c r="F78" s="27" t="s">
        <v>63</v>
      </c>
      <c r="G78" s="25">
        <f>' первое чтение вед стр-ра'!G70</f>
        <v>35</v>
      </c>
      <c r="H78" s="25">
        <f>' первое чтение вед стр-ра'!H70</f>
        <v>0</v>
      </c>
      <c r="I78" s="25">
        <f>' первое чтение вед стр-ра'!I70</f>
        <v>0</v>
      </c>
    </row>
    <row r="79" spans="1:11" s="71" customFormat="1" ht="38.25" x14ac:dyDescent="0.2">
      <c r="A79" s="136" t="s">
        <v>488</v>
      </c>
      <c r="B79" s="129" t="s">
        <v>15</v>
      </c>
      <c r="C79" s="129" t="s">
        <v>386</v>
      </c>
      <c r="D79" s="130"/>
      <c r="E79" s="130"/>
      <c r="F79" s="135"/>
      <c r="G79" s="128">
        <f>SUM(G80)+G83</f>
        <v>8069.5999999999995</v>
      </c>
      <c r="H79" s="128">
        <f t="shared" ref="H79:I79" si="13">SUM(H80)+H83</f>
        <v>7811.7999999999993</v>
      </c>
      <c r="I79" s="128">
        <f t="shared" si="13"/>
        <v>7811.7999999999993</v>
      </c>
    </row>
    <row r="80" spans="1:11" s="26" customFormat="1" ht="89.25" x14ac:dyDescent="0.2">
      <c r="A80" s="45" t="s">
        <v>133</v>
      </c>
      <c r="B80" s="19" t="s">
        <v>15</v>
      </c>
      <c r="C80" s="19">
        <v>3</v>
      </c>
      <c r="D80" s="19" t="s">
        <v>352</v>
      </c>
      <c r="E80" s="19" t="s">
        <v>487</v>
      </c>
      <c r="F80" s="19"/>
      <c r="G80" s="20">
        <f>G81+G82</f>
        <v>8019.5999999999995</v>
      </c>
      <c r="H80" s="20">
        <f>H81+H82</f>
        <v>7811.7999999999993</v>
      </c>
      <c r="I80" s="20">
        <f>I81+I82</f>
        <v>7811.7999999999993</v>
      </c>
    </row>
    <row r="81" spans="1:9" ht="51" x14ac:dyDescent="0.2">
      <c r="A81" s="30" t="s">
        <v>64</v>
      </c>
      <c r="B81" s="24" t="s">
        <v>15</v>
      </c>
      <c r="C81" s="24">
        <v>3</v>
      </c>
      <c r="D81" s="24" t="s">
        <v>352</v>
      </c>
      <c r="E81" s="19" t="s">
        <v>487</v>
      </c>
      <c r="F81" s="27" t="s">
        <v>65</v>
      </c>
      <c r="G81" s="25">
        <f>' первое чтение вед стр-ра'!G57</f>
        <v>7757.7999999999993</v>
      </c>
      <c r="H81" s="25">
        <f>' первое чтение вед стр-ра'!H57</f>
        <v>7757.7999999999993</v>
      </c>
      <c r="I81" s="25">
        <f>' первое чтение вед стр-ра'!I57</f>
        <v>7757.7999999999993</v>
      </c>
    </row>
    <row r="82" spans="1:9" s="76" customFormat="1" ht="25.5" x14ac:dyDescent="0.2">
      <c r="A82" s="72" t="s">
        <v>355</v>
      </c>
      <c r="B82" s="74" t="s">
        <v>15</v>
      </c>
      <c r="C82" s="74">
        <v>3</v>
      </c>
      <c r="D82" s="74" t="s">
        <v>352</v>
      </c>
      <c r="E82" s="69" t="s">
        <v>487</v>
      </c>
      <c r="F82" s="75" t="s">
        <v>66</v>
      </c>
      <c r="G82" s="25">
        <f>' первое чтение вед стр-ра'!G58</f>
        <v>261.8</v>
      </c>
      <c r="H82" s="25">
        <f>' первое чтение вед стр-ра'!H58</f>
        <v>54</v>
      </c>
      <c r="I82" s="25">
        <f>' первое чтение вед стр-ра'!I58</f>
        <v>54</v>
      </c>
    </row>
    <row r="83" spans="1:9" s="66" customFormat="1" ht="25.5" x14ac:dyDescent="0.2">
      <c r="A83" s="86" t="s">
        <v>583</v>
      </c>
      <c r="B83" s="69" t="s">
        <v>15</v>
      </c>
      <c r="C83" s="69">
        <v>3</v>
      </c>
      <c r="D83" s="69" t="s">
        <v>352</v>
      </c>
      <c r="E83" s="69" t="s">
        <v>585</v>
      </c>
      <c r="F83" s="69"/>
      <c r="G83" s="70">
        <f>G84</f>
        <v>50</v>
      </c>
      <c r="H83" s="70">
        <f>H84</f>
        <v>0</v>
      </c>
      <c r="I83" s="70">
        <f>I84</f>
        <v>0</v>
      </c>
    </row>
    <row r="84" spans="1:9" s="76" customFormat="1" ht="25.5" x14ac:dyDescent="0.2">
      <c r="A84" s="72" t="s">
        <v>355</v>
      </c>
      <c r="B84" s="74" t="s">
        <v>15</v>
      </c>
      <c r="C84" s="74">
        <v>3</v>
      </c>
      <c r="D84" s="74" t="s">
        <v>352</v>
      </c>
      <c r="E84" s="74" t="s">
        <v>585</v>
      </c>
      <c r="F84" s="75" t="s">
        <v>66</v>
      </c>
      <c r="G84" s="54">
        <f>' первое чтение вед стр-ра'!G449</f>
        <v>50</v>
      </c>
      <c r="H84" s="54">
        <f>' первое чтение вед стр-ра'!H449</f>
        <v>0</v>
      </c>
      <c r="I84" s="54">
        <f>' первое чтение вед стр-ра'!I449</f>
        <v>0</v>
      </c>
    </row>
    <row r="85" spans="1:9" s="9" customFormat="1" ht="38.25" x14ac:dyDescent="0.2">
      <c r="A85" s="133" t="s">
        <v>486</v>
      </c>
      <c r="B85" s="40" t="s">
        <v>17</v>
      </c>
      <c r="C85" s="40"/>
      <c r="D85" s="40"/>
      <c r="E85" s="40"/>
      <c r="F85" s="137"/>
      <c r="G85" s="38">
        <f>SUM(G86,G99,G102,G107,G116)</f>
        <v>137904.5</v>
      </c>
      <c r="H85" s="38">
        <f t="shared" ref="H85:I85" si="14">SUM(H86,H99,H102,H107,H116)</f>
        <v>125147</v>
      </c>
      <c r="I85" s="38">
        <f t="shared" si="14"/>
        <v>127235</v>
      </c>
    </row>
    <row r="86" spans="1:9" s="26" customFormat="1" ht="38.25" x14ac:dyDescent="0.2">
      <c r="A86" s="132" t="s">
        <v>485</v>
      </c>
      <c r="B86" s="104" t="s">
        <v>17</v>
      </c>
      <c r="C86" s="126" t="s">
        <v>395</v>
      </c>
      <c r="D86" s="126"/>
      <c r="E86" s="126"/>
      <c r="F86" s="143"/>
      <c r="G86" s="125">
        <f>SUM(G89,G93)+G87+G95+G91+G97</f>
        <v>108807</v>
      </c>
      <c r="H86" s="125">
        <f t="shared" ref="H86:I86" si="15">SUM(H89,H93)+H87+H95+H91+H97</f>
        <v>103533.8</v>
      </c>
      <c r="I86" s="125">
        <f t="shared" si="15"/>
        <v>105621.8</v>
      </c>
    </row>
    <row r="87" spans="1:9" ht="51" x14ac:dyDescent="0.2">
      <c r="A87" s="18" t="s">
        <v>306</v>
      </c>
      <c r="B87" s="19" t="s">
        <v>17</v>
      </c>
      <c r="C87" s="19">
        <v>1</v>
      </c>
      <c r="D87" s="19" t="s">
        <v>352</v>
      </c>
      <c r="E87" s="19" t="s">
        <v>483</v>
      </c>
      <c r="F87" s="19"/>
      <c r="G87" s="20">
        <f>G88</f>
        <v>654.70000000000005</v>
      </c>
      <c r="H87" s="20">
        <f>H88</f>
        <v>0</v>
      </c>
      <c r="I87" s="20">
        <f>I88</f>
        <v>654.70000000000005</v>
      </c>
    </row>
    <row r="88" spans="1:9" ht="25.5" x14ac:dyDescent="0.2">
      <c r="A88" s="28" t="s">
        <v>80</v>
      </c>
      <c r="B88" s="24" t="s">
        <v>17</v>
      </c>
      <c r="C88" s="24">
        <v>1</v>
      </c>
      <c r="D88" s="24" t="s">
        <v>352</v>
      </c>
      <c r="E88" s="24" t="s">
        <v>483</v>
      </c>
      <c r="F88" s="24" t="s">
        <v>69</v>
      </c>
      <c r="G88" s="25">
        <f>' первое чтение вед стр-ра'!G92</f>
        <v>654.70000000000005</v>
      </c>
      <c r="H88" s="25">
        <f>' первое чтение вед стр-ра'!H92</f>
        <v>0</v>
      </c>
      <c r="I88" s="25">
        <f>' первое чтение вед стр-ра'!I92</f>
        <v>654.70000000000005</v>
      </c>
    </row>
    <row r="89" spans="1:9" s="26" customFormat="1" ht="49.5" customHeight="1" x14ac:dyDescent="0.2">
      <c r="A89" s="18" t="s">
        <v>482</v>
      </c>
      <c r="B89" s="19" t="s">
        <v>17</v>
      </c>
      <c r="C89" s="19">
        <v>1</v>
      </c>
      <c r="D89" s="19" t="s">
        <v>352</v>
      </c>
      <c r="E89" s="19">
        <v>51350</v>
      </c>
      <c r="F89" s="19"/>
      <c r="G89" s="20">
        <f>G90</f>
        <v>2618.5</v>
      </c>
      <c r="H89" s="20">
        <f>H90</f>
        <v>0</v>
      </c>
      <c r="I89" s="20">
        <f>I90</f>
        <v>1309.3</v>
      </c>
    </row>
    <row r="90" spans="1:9" s="26" customFormat="1" ht="25.5" customHeight="1" x14ac:dyDescent="0.2">
      <c r="A90" s="28" t="s">
        <v>67</v>
      </c>
      <c r="B90" s="19" t="s">
        <v>17</v>
      </c>
      <c r="C90" s="19">
        <v>1</v>
      </c>
      <c r="D90" s="19" t="s">
        <v>352</v>
      </c>
      <c r="E90" s="19">
        <v>51350</v>
      </c>
      <c r="F90" s="19" t="s">
        <v>68</v>
      </c>
      <c r="G90" s="20">
        <f>' первое чтение вед стр-ра'!G94</f>
        <v>2618.5</v>
      </c>
      <c r="H90" s="20">
        <f>' первое чтение вед стр-ра'!H94</f>
        <v>0</v>
      </c>
      <c r="I90" s="20">
        <f>' первое чтение вед стр-ра'!I94</f>
        <v>1309.3</v>
      </c>
    </row>
    <row r="91" spans="1:9" s="26" customFormat="1" ht="30.75" customHeight="1" x14ac:dyDescent="0.2">
      <c r="A91" s="18" t="s">
        <v>288</v>
      </c>
      <c r="B91" s="19" t="s">
        <v>17</v>
      </c>
      <c r="C91" s="19">
        <v>1</v>
      </c>
      <c r="D91" s="19" t="s">
        <v>352</v>
      </c>
      <c r="E91" s="19" t="s">
        <v>481</v>
      </c>
      <c r="F91" s="19"/>
      <c r="G91" s="20">
        <f>G92</f>
        <v>21142.799999999999</v>
      </c>
      <c r="H91" s="20">
        <f>H92</f>
        <v>21142.799999999999</v>
      </c>
      <c r="I91" s="20">
        <f>I92</f>
        <v>21142.799999999999</v>
      </c>
    </row>
    <row r="92" spans="1:9" ht="25.5" x14ac:dyDescent="0.2">
      <c r="A92" s="28" t="s">
        <v>80</v>
      </c>
      <c r="B92" s="24" t="s">
        <v>17</v>
      </c>
      <c r="C92" s="24">
        <v>1</v>
      </c>
      <c r="D92" s="24" t="s">
        <v>352</v>
      </c>
      <c r="E92" s="24" t="s">
        <v>481</v>
      </c>
      <c r="F92" s="24" t="s">
        <v>69</v>
      </c>
      <c r="G92" s="25">
        <f>' первое чтение вед стр-ра'!G96</f>
        <v>21142.799999999999</v>
      </c>
      <c r="H92" s="25">
        <f>' первое чтение вед стр-ра'!H96</f>
        <v>21142.799999999999</v>
      </c>
      <c r="I92" s="25">
        <f>' первое чтение вед стр-ра'!I96</f>
        <v>21142.799999999999</v>
      </c>
    </row>
    <row r="93" spans="1:9" s="26" customFormat="1" ht="38.25" x14ac:dyDescent="0.2">
      <c r="A93" s="18" t="s">
        <v>185</v>
      </c>
      <c r="B93" s="19" t="s">
        <v>17</v>
      </c>
      <c r="C93" s="19">
        <v>1</v>
      </c>
      <c r="D93" s="19" t="s">
        <v>352</v>
      </c>
      <c r="E93" s="19" t="s">
        <v>480</v>
      </c>
      <c r="F93" s="19"/>
      <c r="G93" s="20">
        <f>G94</f>
        <v>24009</v>
      </c>
      <c r="H93" s="20">
        <f>H94</f>
        <v>24009</v>
      </c>
      <c r="I93" s="20">
        <f>I94</f>
        <v>24133</v>
      </c>
    </row>
    <row r="94" spans="1:9" ht="25.5" x14ac:dyDescent="0.2">
      <c r="A94" s="28" t="s">
        <v>80</v>
      </c>
      <c r="B94" s="19" t="s">
        <v>17</v>
      </c>
      <c r="C94" s="19">
        <v>1</v>
      </c>
      <c r="D94" s="19" t="s">
        <v>352</v>
      </c>
      <c r="E94" s="19" t="s">
        <v>480</v>
      </c>
      <c r="F94" s="24" t="s">
        <v>69</v>
      </c>
      <c r="G94" s="25">
        <f>' первое чтение вед стр-ра'!G172</f>
        <v>24009</v>
      </c>
      <c r="H94" s="25">
        <f>' первое чтение вед стр-ра'!H172</f>
        <v>24009</v>
      </c>
      <c r="I94" s="25">
        <f>' первое чтение вед стр-ра'!I172</f>
        <v>24133</v>
      </c>
    </row>
    <row r="95" spans="1:9" ht="38.25" x14ac:dyDescent="0.2">
      <c r="A95" s="18" t="s">
        <v>185</v>
      </c>
      <c r="B95" s="19" t="s">
        <v>17</v>
      </c>
      <c r="C95" s="19">
        <v>1</v>
      </c>
      <c r="D95" s="19" t="s">
        <v>352</v>
      </c>
      <c r="E95" s="19" t="s">
        <v>479</v>
      </c>
      <c r="F95" s="19"/>
      <c r="G95" s="20">
        <f>G96</f>
        <v>58382</v>
      </c>
      <c r="H95" s="20">
        <f>H96</f>
        <v>58382</v>
      </c>
      <c r="I95" s="20">
        <f>I96</f>
        <v>58382</v>
      </c>
    </row>
    <row r="96" spans="1:9" s="71" customFormat="1" ht="25.5" x14ac:dyDescent="0.2">
      <c r="A96" s="79" t="s">
        <v>80</v>
      </c>
      <c r="B96" s="69" t="s">
        <v>17</v>
      </c>
      <c r="C96" s="69">
        <v>1</v>
      </c>
      <c r="D96" s="69" t="s">
        <v>352</v>
      </c>
      <c r="E96" s="69" t="s">
        <v>479</v>
      </c>
      <c r="F96" s="74" t="s">
        <v>69</v>
      </c>
      <c r="G96" s="54">
        <f>' первое чтение вед стр-ра'!G174</f>
        <v>58382</v>
      </c>
      <c r="H96" s="54">
        <f>' первое чтение вед стр-ра'!H174</f>
        <v>58382</v>
      </c>
      <c r="I96" s="54">
        <f>' первое чтение вед стр-ра'!I174</f>
        <v>58382</v>
      </c>
    </row>
    <row r="97" spans="1:9" s="194" customFormat="1" ht="38.25" x14ac:dyDescent="0.2">
      <c r="A97" s="18" t="s">
        <v>278</v>
      </c>
      <c r="B97" s="19" t="s">
        <v>17</v>
      </c>
      <c r="C97" s="19">
        <v>1</v>
      </c>
      <c r="D97" s="19" t="s">
        <v>352</v>
      </c>
      <c r="E97" s="19" t="s">
        <v>484</v>
      </c>
      <c r="F97" s="19"/>
      <c r="G97" s="20">
        <f>G98</f>
        <v>2000</v>
      </c>
      <c r="H97" s="20">
        <f>H98</f>
        <v>0</v>
      </c>
      <c r="I97" s="20">
        <f>I98</f>
        <v>0</v>
      </c>
    </row>
    <row r="98" spans="1:9" s="71" customFormat="1" ht="25.5" x14ac:dyDescent="0.2">
      <c r="A98" s="79" t="s">
        <v>80</v>
      </c>
      <c r="B98" s="69" t="s">
        <v>17</v>
      </c>
      <c r="C98" s="69">
        <v>1</v>
      </c>
      <c r="D98" s="69" t="s">
        <v>352</v>
      </c>
      <c r="E98" s="69" t="s">
        <v>484</v>
      </c>
      <c r="F98" s="74" t="s">
        <v>69</v>
      </c>
      <c r="G98" s="54">
        <f>' первое чтение вед стр-ра'!G98</f>
        <v>2000</v>
      </c>
      <c r="H98" s="54">
        <f>' первое чтение вед стр-ра'!H98</f>
        <v>0</v>
      </c>
      <c r="I98" s="54">
        <f>' первое чтение вед стр-ра'!I98</f>
        <v>0</v>
      </c>
    </row>
    <row r="99" spans="1:9" s="71" customFormat="1" x14ac:dyDescent="0.2">
      <c r="A99" s="131" t="s">
        <v>478</v>
      </c>
      <c r="B99" s="129" t="s">
        <v>17</v>
      </c>
      <c r="C99" s="130" t="s">
        <v>390</v>
      </c>
      <c r="D99" s="130"/>
      <c r="E99" s="130"/>
      <c r="F99" s="129"/>
      <c r="G99" s="128">
        <f t="shared" ref="G99:I100" si="16">G100</f>
        <v>1966.3</v>
      </c>
      <c r="H99" s="128">
        <f t="shared" si="16"/>
        <v>1966.3</v>
      </c>
      <c r="I99" s="128">
        <f t="shared" si="16"/>
        <v>1966.3</v>
      </c>
    </row>
    <row r="100" spans="1:9" s="76" customFormat="1" x14ac:dyDescent="0.2">
      <c r="A100" s="67" t="s">
        <v>312</v>
      </c>
      <c r="B100" s="69" t="s">
        <v>17</v>
      </c>
      <c r="C100" s="69">
        <v>2</v>
      </c>
      <c r="D100" s="69" t="s">
        <v>352</v>
      </c>
      <c r="E100" s="69" t="s">
        <v>477</v>
      </c>
      <c r="F100" s="69"/>
      <c r="G100" s="70">
        <f t="shared" si="16"/>
        <v>1966.3</v>
      </c>
      <c r="H100" s="70">
        <f t="shared" si="16"/>
        <v>1966.3</v>
      </c>
      <c r="I100" s="70">
        <f t="shared" si="16"/>
        <v>1966.3</v>
      </c>
    </row>
    <row r="101" spans="1:9" s="71" customFormat="1" x14ac:dyDescent="0.2">
      <c r="A101" s="79" t="s">
        <v>67</v>
      </c>
      <c r="B101" s="74" t="s">
        <v>17</v>
      </c>
      <c r="C101" s="74">
        <v>2</v>
      </c>
      <c r="D101" s="74" t="s">
        <v>352</v>
      </c>
      <c r="E101" s="74" t="s">
        <v>477</v>
      </c>
      <c r="F101" s="139">
        <v>300</v>
      </c>
      <c r="G101" s="54">
        <f>' первое чтение вед стр-ра'!G100</f>
        <v>1966.3</v>
      </c>
      <c r="H101" s="54">
        <f>' первое чтение вед стр-ра'!H100</f>
        <v>1966.3</v>
      </c>
      <c r="I101" s="54">
        <f>' первое чтение вед стр-ра'!I100</f>
        <v>1966.3</v>
      </c>
    </row>
    <row r="102" spans="1:9" s="66" customFormat="1" ht="25.5" x14ac:dyDescent="0.2">
      <c r="A102" s="131" t="s">
        <v>476</v>
      </c>
      <c r="B102" s="129" t="s">
        <v>17</v>
      </c>
      <c r="C102" s="129" t="s">
        <v>386</v>
      </c>
      <c r="D102" s="129"/>
      <c r="E102" s="129"/>
      <c r="F102" s="142"/>
      <c r="G102" s="128">
        <f>G103+G105</f>
        <v>2777</v>
      </c>
      <c r="H102" s="128">
        <f t="shared" ref="H102:I102" si="17">H103+H105</f>
        <v>0</v>
      </c>
      <c r="I102" s="128">
        <f t="shared" si="17"/>
        <v>0</v>
      </c>
    </row>
    <row r="103" spans="1:9" s="76" customFormat="1" x14ac:dyDescent="0.2">
      <c r="A103" s="79" t="s">
        <v>317</v>
      </c>
      <c r="B103" s="74" t="s">
        <v>17</v>
      </c>
      <c r="C103" s="74" t="s">
        <v>386</v>
      </c>
      <c r="D103" s="74" t="s">
        <v>352</v>
      </c>
      <c r="E103" s="69" t="s">
        <v>561</v>
      </c>
      <c r="F103" s="75"/>
      <c r="G103" s="54">
        <f>G104</f>
        <v>1277</v>
      </c>
      <c r="H103" s="54">
        <v>0</v>
      </c>
      <c r="I103" s="54">
        <v>0</v>
      </c>
    </row>
    <row r="104" spans="1:9" s="76" customFormat="1" ht="25.5" x14ac:dyDescent="0.2">
      <c r="A104" s="79" t="s">
        <v>80</v>
      </c>
      <c r="B104" s="74" t="s">
        <v>17</v>
      </c>
      <c r="C104" s="74" t="s">
        <v>386</v>
      </c>
      <c r="D104" s="74" t="s">
        <v>352</v>
      </c>
      <c r="E104" s="74" t="s">
        <v>561</v>
      </c>
      <c r="F104" s="75" t="s">
        <v>69</v>
      </c>
      <c r="G104" s="54">
        <f>' первое чтение вед стр-ра'!G80</f>
        <v>1277</v>
      </c>
      <c r="H104" s="54">
        <f>' первое чтение вед стр-ра'!H80</f>
        <v>0</v>
      </c>
      <c r="I104" s="54">
        <f>' первое чтение вед стр-ра'!I80</f>
        <v>0</v>
      </c>
    </row>
    <row r="105" spans="1:9" s="26" customFormat="1" ht="25.5" x14ac:dyDescent="0.2">
      <c r="A105" s="18" t="s">
        <v>307</v>
      </c>
      <c r="B105" s="24" t="s">
        <v>17</v>
      </c>
      <c r="C105" s="24" t="s">
        <v>386</v>
      </c>
      <c r="D105" s="24" t="s">
        <v>352</v>
      </c>
      <c r="E105" s="24" t="s">
        <v>536</v>
      </c>
      <c r="F105" s="27"/>
      <c r="G105" s="25">
        <f>SUM(G106)</f>
        <v>1500</v>
      </c>
      <c r="H105" s="25">
        <f t="shared" ref="H105:I105" si="18">SUM(H106)</f>
        <v>0</v>
      </c>
      <c r="I105" s="25">
        <f t="shared" si="18"/>
        <v>0</v>
      </c>
    </row>
    <row r="106" spans="1:9" s="26" customFormat="1" ht="25.5" x14ac:dyDescent="0.2">
      <c r="A106" s="28" t="s">
        <v>74</v>
      </c>
      <c r="B106" s="24" t="s">
        <v>17</v>
      </c>
      <c r="C106" s="24" t="s">
        <v>386</v>
      </c>
      <c r="D106" s="24" t="s">
        <v>352</v>
      </c>
      <c r="E106" s="24" t="s">
        <v>536</v>
      </c>
      <c r="F106" s="27" t="s">
        <v>66</v>
      </c>
      <c r="G106" s="25">
        <f>' первое чтение вед стр-ра'!G467</f>
        <v>1500</v>
      </c>
      <c r="H106" s="25">
        <f>' первое чтение вед стр-ра'!H467</f>
        <v>0</v>
      </c>
      <c r="I106" s="25">
        <f>' первое чтение вед стр-ра'!I467</f>
        <v>0</v>
      </c>
    </row>
    <row r="107" spans="1:9" s="66" customFormat="1" x14ac:dyDescent="0.2">
      <c r="A107" s="131" t="s">
        <v>475</v>
      </c>
      <c r="B107" s="129" t="s">
        <v>17</v>
      </c>
      <c r="C107" s="129" t="s">
        <v>383</v>
      </c>
      <c r="D107" s="129"/>
      <c r="E107" s="129"/>
      <c r="F107" s="129"/>
      <c r="G107" s="128">
        <f>SUM(G108,)+G110+G114</f>
        <v>21159.100000000002</v>
      </c>
      <c r="H107" s="128">
        <f t="shared" ref="H107:I107" si="19">SUM(H108,)+H110+H114</f>
        <v>19646.899999999998</v>
      </c>
      <c r="I107" s="128">
        <f t="shared" si="19"/>
        <v>19646.899999999998</v>
      </c>
    </row>
    <row r="108" spans="1:9" x14ac:dyDescent="0.2">
      <c r="A108" s="18" t="s">
        <v>142</v>
      </c>
      <c r="B108" s="19" t="s">
        <v>17</v>
      </c>
      <c r="C108" s="19">
        <v>4</v>
      </c>
      <c r="D108" s="19" t="s">
        <v>352</v>
      </c>
      <c r="E108" s="19" t="s">
        <v>474</v>
      </c>
      <c r="F108" s="19"/>
      <c r="G108" s="20">
        <f>G109</f>
        <v>194.5</v>
      </c>
      <c r="H108" s="20">
        <f t="shared" ref="H108:I108" si="20">H109</f>
        <v>16812.599999999999</v>
      </c>
      <c r="I108" s="20">
        <f t="shared" si="20"/>
        <v>16812.599999999999</v>
      </c>
    </row>
    <row r="109" spans="1:9" s="9" customFormat="1" ht="25.5" x14ac:dyDescent="0.2">
      <c r="A109" s="28" t="s">
        <v>80</v>
      </c>
      <c r="B109" s="24" t="s">
        <v>17</v>
      </c>
      <c r="C109" s="24">
        <v>4</v>
      </c>
      <c r="D109" s="24" t="s">
        <v>352</v>
      </c>
      <c r="E109" s="24" t="s">
        <v>474</v>
      </c>
      <c r="F109" s="24" t="s">
        <v>69</v>
      </c>
      <c r="G109" s="25">
        <f>' первое чтение вед стр-ра'!G343+' первое чтение вед стр-ра'!G82</f>
        <v>194.5</v>
      </c>
      <c r="H109" s="25">
        <f>' первое чтение вед стр-ра'!H343+' первое чтение вед стр-ра'!H82</f>
        <v>16812.599999999999</v>
      </c>
      <c r="I109" s="25">
        <f>' первое чтение вед стр-ра'!I343+' первое чтение вед стр-ра'!I82</f>
        <v>16812.599999999999</v>
      </c>
    </row>
    <row r="110" spans="1:9" s="140" customFormat="1" x14ac:dyDescent="0.2">
      <c r="A110" s="18" t="s">
        <v>144</v>
      </c>
      <c r="B110" s="24" t="s">
        <v>17</v>
      </c>
      <c r="C110" s="24">
        <v>4</v>
      </c>
      <c r="D110" s="24" t="s">
        <v>352</v>
      </c>
      <c r="E110" s="24" t="s">
        <v>473</v>
      </c>
      <c r="F110" s="19"/>
      <c r="G110" s="20">
        <f>G111+G112+G113</f>
        <v>17912.400000000001</v>
      </c>
      <c r="H110" s="20">
        <f t="shared" ref="H110:I110" si="21">H111+H112+H113</f>
        <v>0</v>
      </c>
      <c r="I110" s="20">
        <f t="shared" si="21"/>
        <v>0</v>
      </c>
    </row>
    <row r="111" spans="1:9" s="9" customFormat="1" ht="25.5" x14ac:dyDescent="0.2">
      <c r="A111" s="30" t="s">
        <v>355</v>
      </c>
      <c r="B111" s="24" t="s">
        <v>17</v>
      </c>
      <c r="C111" s="24">
        <v>4</v>
      </c>
      <c r="D111" s="24" t="s">
        <v>352</v>
      </c>
      <c r="E111" s="24" t="s">
        <v>473</v>
      </c>
      <c r="F111" s="27" t="s">
        <v>66</v>
      </c>
      <c r="G111" s="25">
        <f>' первое чтение вед стр-ра'!G84+' первое чтение вед стр-ра'!G355</f>
        <v>12925.2</v>
      </c>
      <c r="H111" s="25">
        <f>' первое чтение вед стр-ра'!H84+' первое чтение вед стр-ра'!H355</f>
        <v>0</v>
      </c>
      <c r="I111" s="25">
        <f>' первое чтение вед стр-ра'!I84+' первое чтение вед стр-ра'!I355</f>
        <v>0</v>
      </c>
    </row>
    <row r="112" spans="1:9" s="9" customFormat="1" ht="25.5" x14ac:dyDescent="0.2">
      <c r="A112" s="28" t="s">
        <v>80</v>
      </c>
      <c r="B112" s="24" t="s">
        <v>17</v>
      </c>
      <c r="C112" s="24">
        <v>4</v>
      </c>
      <c r="D112" s="24" t="s">
        <v>352</v>
      </c>
      <c r="E112" s="24" t="s">
        <v>473</v>
      </c>
      <c r="F112" s="24" t="s">
        <v>69</v>
      </c>
      <c r="G112" s="25">
        <f>' первое чтение вед стр-ра'!G123</f>
        <v>4137.2</v>
      </c>
      <c r="H112" s="25">
        <f>' первое чтение вед стр-ра'!H123</f>
        <v>0</v>
      </c>
      <c r="I112" s="25">
        <f>' первое чтение вед стр-ра'!I123</f>
        <v>0</v>
      </c>
    </row>
    <row r="113" spans="1:9" s="9" customFormat="1" ht="25.5" x14ac:dyDescent="0.2">
      <c r="A113" s="28" t="s">
        <v>119</v>
      </c>
      <c r="B113" s="24" t="s">
        <v>17</v>
      </c>
      <c r="C113" s="24">
        <v>4</v>
      </c>
      <c r="D113" s="24" t="s">
        <v>352</v>
      </c>
      <c r="E113" s="24" t="s">
        <v>473</v>
      </c>
      <c r="F113" s="24" t="s">
        <v>63</v>
      </c>
      <c r="G113" s="25">
        <f>' первое чтение вед стр-ра'!G47</f>
        <v>850</v>
      </c>
      <c r="H113" s="25">
        <f>' первое чтение вед стр-ра'!H47</f>
        <v>0</v>
      </c>
      <c r="I113" s="25">
        <f>' первое чтение вед стр-ра'!I47</f>
        <v>0</v>
      </c>
    </row>
    <row r="114" spans="1:9" s="66" customFormat="1" ht="38.25" x14ac:dyDescent="0.2">
      <c r="A114" s="67" t="s">
        <v>318</v>
      </c>
      <c r="B114" s="74" t="s">
        <v>17</v>
      </c>
      <c r="C114" s="74" t="s">
        <v>383</v>
      </c>
      <c r="D114" s="74" t="s">
        <v>352</v>
      </c>
      <c r="E114" s="74" t="s">
        <v>472</v>
      </c>
      <c r="F114" s="74"/>
      <c r="G114" s="54">
        <f>G115</f>
        <v>3052.2</v>
      </c>
      <c r="H114" s="54">
        <f>H115</f>
        <v>2834.3</v>
      </c>
      <c r="I114" s="54">
        <f>I115</f>
        <v>2834.3</v>
      </c>
    </row>
    <row r="115" spans="1:9" s="9" customFormat="1" ht="25.5" x14ac:dyDescent="0.2">
      <c r="A115" s="28" t="s">
        <v>119</v>
      </c>
      <c r="B115" s="24" t="s">
        <v>17</v>
      </c>
      <c r="C115" s="24" t="s">
        <v>383</v>
      </c>
      <c r="D115" s="24" t="s">
        <v>352</v>
      </c>
      <c r="E115" s="24" t="s">
        <v>472</v>
      </c>
      <c r="F115" s="24" t="s">
        <v>63</v>
      </c>
      <c r="G115" s="25">
        <f>' первое чтение вед стр-ра'!G60</f>
        <v>3052.2</v>
      </c>
      <c r="H115" s="25">
        <f>' первое чтение вед стр-ра'!H60</f>
        <v>2834.3</v>
      </c>
      <c r="I115" s="25">
        <f>' первое чтение вед стр-ра'!I60</f>
        <v>2834.3</v>
      </c>
    </row>
    <row r="116" spans="1:9" s="140" customFormat="1" x14ac:dyDescent="0.2">
      <c r="A116" s="127" t="s">
        <v>471</v>
      </c>
      <c r="B116" s="126" t="s">
        <v>17</v>
      </c>
      <c r="C116" s="126" t="s">
        <v>380</v>
      </c>
      <c r="D116" s="126"/>
      <c r="E116" s="126"/>
      <c r="F116" s="126"/>
      <c r="G116" s="125">
        <f>SUM(G117,G119)</f>
        <v>3195.1</v>
      </c>
      <c r="H116" s="125">
        <f>SUM(H117,H119)</f>
        <v>0</v>
      </c>
      <c r="I116" s="125">
        <f>SUM(I117,I119)</f>
        <v>0</v>
      </c>
    </row>
    <row r="117" spans="1:9" s="9" customFormat="1" x14ac:dyDescent="0.2">
      <c r="A117" s="18" t="s">
        <v>326</v>
      </c>
      <c r="B117" s="19" t="s">
        <v>17</v>
      </c>
      <c r="C117" s="19">
        <v>5</v>
      </c>
      <c r="D117" s="19" t="s">
        <v>352</v>
      </c>
      <c r="E117" s="19" t="s">
        <v>470</v>
      </c>
      <c r="F117" s="19"/>
      <c r="G117" s="20">
        <f>G118</f>
        <v>1994</v>
      </c>
      <c r="H117" s="20">
        <f>H118</f>
        <v>0</v>
      </c>
      <c r="I117" s="20">
        <f>I118</f>
        <v>0</v>
      </c>
    </row>
    <row r="118" spans="1:9" s="141" customFormat="1" ht="25.5" x14ac:dyDescent="0.2">
      <c r="A118" s="30" t="s">
        <v>355</v>
      </c>
      <c r="B118" s="74" t="s">
        <v>17</v>
      </c>
      <c r="C118" s="74">
        <v>5</v>
      </c>
      <c r="D118" s="74" t="s">
        <v>352</v>
      </c>
      <c r="E118" s="74" t="s">
        <v>470</v>
      </c>
      <c r="F118" s="74" t="s">
        <v>66</v>
      </c>
      <c r="G118" s="54">
        <f>' первое чтение вед стр-ра'!G465</f>
        <v>1994</v>
      </c>
      <c r="H118" s="54">
        <f>' первое чтение вед стр-ра'!H465</f>
        <v>0</v>
      </c>
      <c r="I118" s="54">
        <f>' первое чтение вед стр-ра'!I465</f>
        <v>0</v>
      </c>
    </row>
    <row r="119" spans="1:9" s="140" customFormat="1" ht="25.5" x14ac:dyDescent="0.2">
      <c r="A119" s="18" t="s">
        <v>183</v>
      </c>
      <c r="B119" s="19" t="s">
        <v>17</v>
      </c>
      <c r="C119" s="19">
        <v>5</v>
      </c>
      <c r="D119" s="19" t="s">
        <v>352</v>
      </c>
      <c r="E119" s="19" t="s">
        <v>469</v>
      </c>
      <c r="F119" s="19"/>
      <c r="G119" s="20">
        <f>G120</f>
        <v>1201.0999999999999</v>
      </c>
      <c r="H119" s="20">
        <f>H120</f>
        <v>0</v>
      </c>
      <c r="I119" s="20">
        <f>I120</f>
        <v>0</v>
      </c>
    </row>
    <row r="120" spans="1:9" s="9" customFormat="1" ht="25.5" x14ac:dyDescent="0.2">
      <c r="A120" s="30" t="s">
        <v>355</v>
      </c>
      <c r="B120" s="24" t="s">
        <v>17</v>
      </c>
      <c r="C120" s="24">
        <v>5</v>
      </c>
      <c r="D120" s="24" t="s">
        <v>352</v>
      </c>
      <c r="E120" s="24" t="s">
        <v>469</v>
      </c>
      <c r="F120" s="24" t="s">
        <v>66</v>
      </c>
      <c r="G120" s="25">
        <f>' первое чтение вед стр-ра'!G168</f>
        <v>1201.0999999999999</v>
      </c>
      <c r="H120" s="25">
        <f>' первое чтение вед стр-ра'!H168</f>
        <v>0</v>
      </c>
      <c r="I120" s="25">
        <f>' первое чтение вед стр-ра'!I168</f>
        <v>0</v>
      </c>
    </row>
    <row r="121" spans="1:9" ht="25.5" x14ac:dyDescent="0.2">
      <c r="A121" s="39" t="s">
        <v>468</v>
      </c>
      <c r="B121" s="40" t="s">
        <v>29</v>
      </c>
      <c r="C121" s="40"/>
      <c r="D121" s="40"/>
      <c r="E121" s="40"/>
      <c r="F121" s="40"/>
      <c r="G121" s="38">
        <f>SUM(G122,G177,G218)</f>
        <v>1329216.6000000003</v>
      </c>
      <c r="H121" s="38">
        <f>SUM(H122,H177,H218)</f>
        <v>1248148.5000000002</v>
      </c>
      <c r="I121" s="38">
        <f>SUM(I122,I177,I218)</f>
        <v>1221809.7000000004</v>
      </c>
    </row>
    <row r="122" spans="1:9" s="71" customFormat="1" ht="38.25" x14ac:dyDescent="0.2">
      <c r="A122" s="131" t="s">
        <v>467</v>
      </c>
      <c r="B122" s="129" t="s">
        <v>29</v>
      </c>
      <c r="C122" s="129" t="s">
        <v>395</v>
      </c>
      <c r="D122" s="129"/>
      <c r="E122" s="129"/>
      <c r="F122" s="129"/>
      <c r="G122" s="128">
        <f>SUM(G123,G128,G132,G137,G141,G144,G146,G148,G151,G157,G161,G165,G169)+G155+G135+G130+G171+G174</f>
        <v>1198262.3000000003</v>
      </c>
      <c r="H122" s="128">
        <f t="shared" ref="H122:I122" si="22">SUM(H123,H128,H132,H137,H141,H144,H146,H148,H151,H157,H161,H165,H169)+H155+H135+H130+H171+H174</f>
        <v>1122470.7000000002</v>
      </c>
      <c r="I122" s="128">
        <f t="shared" si="22"/>
        <v>1097664.6000000003</v>
      </c>
    </row>
    <row r="123" spans="1:9" s="71" customFormat="1" ht="51" x14ac:dyDescent="0.2">
      <c r="A123" s="67" t="s">
        <v>281</v>
      </c>
      <c r="B123" s="69" t="s">
        <v>29</v>
      </c>
      <c r="C123" s="69">
        <v>1</v>
      </c>
      <c r="D123" s="69" t="s">
        <v>352</v>
      </c>
      <c r="E123" s="69" t="s">
        <v>466</v>
      </c>
      <c r="F123" s="69"/>
      <c r="G123" s="70">
        <f>G126+G125+G124+G127</f>
        <v>202873.9</v>
      </c>
      <c r="H123" s="70">
        <f t="shared" ref="H123:I123" si="23">H126+H125+H124+H127</f>
        <v>175673.49999999997</v>
      </c>
      <c r="I123" s="70">
        <f t="shared" si="23"/>
        <v>166587.99999999997</v>
      </c>
    </row>
    <row r="124" spans="1:9" s="71" customFormat="1" ht="51" x14ac:dyDescent="0.2">
      <c r="A124" s="72" t="s">
        <v>64</v>
      </c>
      <c r="B124" s="74" t="s">
        <v>29</v>
      </c>
      <c r="C124" s="74">
        <v>1</v>
      </c>
      <c r="D124" s="74" t="s">
        <v>352</v>
      </c>
      <c r="E124" s="74" t="s">
        <v>466</v>
      </c>
      <c r="F124" s="75" t="s">
        <v>65</v>
      </c>
      <c r="G124" s="70">
        <f>' первое чтение вед стр-ра'!G210</f>
        <v>29924.9</v>
      </c>
      <c r="H124" s="70">
        <f>' первое чтение вед стр-ра'!H210</f>
        <v>29923.3</v>
      </c>
      <c r="I124" s="70">
        <f>' первое чтение вед стр-ра'!I210</f>
        <v>29923.3</v>
      </c>
    </row>
    <row r="125" spans="1:9" ht="25.5" x14ac:dyDescent="0.2">
      <c r="A125" s="30" t="s">
        <v>355</v>
      </c>
      <c r="B125" s="24" t="s">
        <v>29</v>
      </c>
      <c r="C125" s="24">
        <v>1</v>
      </c>
      <c r="D125" s="24" t="s">
        <v>352</v>
      </c>
      <c r="E125" s="24" t="s">
        <v>466</v>
      </c>
      <c r="F125" s="27" t="s">
        <v>66</v>
      </c>
      <c r="G125" s="70">
        <f>' первое чтение вед стр-ра'!G211</f>
        <v>13808</v>
      </c>
      <c r="H125" s="70">
        <f>' первое чтение вед стр-ра'!H211</f>
        <v>10370.299999999999</v>
      </c>
      <c r="I125" s="70">
        <f>' первое чтение вед стр-ра'!I211</f>
        <v>9150</v>
      </c>
    </row>
    <row r="126" spans="1:9" ht="25.5" x14ac:dyDescent="0.2">
      <c r="A126" s="28" t="s">
        <v>119</v>
      </c>
      <c r="B126" s="24" t="s">
        <v>29</v>
      </c>
      <c r="C126" s="24">
        <v>1</v>
      </c>
      <c r="D126" s="24" t="s">
        <v>352</v>
      </c>
      <c r="E126" s="24" t="s">
        <v>466</v>
      </c>
      <c r="F126" s="24" t="s">
        <v>63</v>
      </c>
      <c r="G126" s="70">
        <f>' первое чтение вед стр-ра'!G212</f>
        <v>159006.70000000001</v>
      </c>
      <c r="H126" s="70">
        <f>' первое чтение вед стр-ра'!H212</f>
        <v>135290.6</v>
      </c>
      <c r="I126" s="70">
        <f>' первое чтение вед стр-ра'!I212</f>
        <v>127425.4</v>
      </c>
    </row>
    <row r="127" spans="1:9" s="71" customFormat="1" x14ac:dyDescent="0.2">
      <c r="A127" s="79" t="s">
        <v>70</v>
      </c>
      <c r="B127" s="74" t="s">
        <v>29</v>
      </c>
      <c r="C127" s="74">
        <v>1</v>
      </c>
      <c r="D127" s="74" t="s">
        <v>352</v>
      </c>
      <c r="E127" s="74" t="s">
        <v>466</v>
      </c>
      <c r="F127" s="74" t="s">
        <v>71</v>
      </c>
      <c r="G127" s="70">
        <f>' первое чтение вед стр-ра'!G213</f>
        <v>134.30000000000001</v>
      </c>
      <c r="H127" s="70">
        <f>' первое чтение вед стр-ра'!H213</f>
        <v>89.3</v>
      </c>
      <c r="I127" s="70">
        <f>' первое чтение вед стр-ра'!I213</f>
        <v>89.3</v>
      </c>
    </row>
    <row r="128" spans="1:9" ht="51" x14ac:dyDescent="0.2">
      <c r="A128" s="18" t="s">
        <v>281</v>
      </c>
      <c r="B128" s="19" t="s">
        <v>29</v>
      </c>
      <c r="C128" s="19">
        <v>1</v>
      </c>
      <c r="D128" s="19" t="s">
        <v>352</v>
      </c>
      <c r="E128" s="19" t="s">
        <v>465</v>
      </c>
      <c r="F128" s="19"/>
      <c r="G128" s="20">
        <f>G129</f>
        <v>74254.899999999994</v>
      </c>
      <c r="H128" s="20">
        <f>H129</f>
        <v>39999.5</v>
      </c>
      <c r="I128" s="20">
        <f>I129</f>
        <v>28557.599999999999</v>
      </c>
    </row>
    <row r="129" spans="1:9" ht="25.5" x14ac:dyDescent="0.2">
      <c r="A129" s="28" t="s">
        <v>119</v>
      </c>
      <c r="B129" s="24" t="s">
        <v>29</v>
      </c>
      <c r="C129" s="24">
        <v>1</v>
      </c>
      <c r="D129" s="24" t="s">
        <v>352</v>
      </c>
      <c r="E129" s="24" t="s">
        <v>465</v>
      </c>
      <c r="F129" s="24" t="s">
        <v>63</v>
      </c>
      <c r="G129" s="25">
        <f>' первое чтение вед стр-ра'!G231</f>
        <v>74254.899999999994</v>
      </c>
      <c r="H129" s="25">
        <f>' первое чтение вед стр-ра'!H231</f>
        <v>39999.5</v>
      </c>
      <c r="I129" s="25">
        <f>' первое чтение вед стр-ра'!I231</f>
        <v>28557.599999999999</v>
      </c>
    </row>
    <row r="130" spans="1:9" s="194" customFormat="1" ht="76.5" x14ac:dyDescent="0.2">
      <c r="A130" s="18" t="s">
        <v>587</v>
      </c>
      <c r="B130" s="19" t="s">
        <v>29</v>
      </c>
      <c r="C130" s="19">
        <v>1</v>
      </c>
      <c r="D130" s="19" t="s">
        <v>352</v>
      </c>
      <c r="E130" s="19" t="s">
        <v>588</v>
      </c>
      <c r="F130" s="19"/>
      <c r="G130" s="20">
        <f>G131</f>
        <v>3525.6</v>
      </c>
      <c r="H130" s="20">
        <f>H131</f>
        <v>3525.6</v>
      </c>
      <c r="I130" s="20">
        <f>I131</f>
        <v>3525.6</v>
      </c>
    </row>
    <row r="131" spans="1:9" s="194" customFormat="1" ht="25.5" x14ac:dyDescent="0.2">
      <c r="A131" s="28" t="s">
        <v>119</v>
      </c>
      <c r="B131" s="24" t="s">
        <v>29</v>
      </c>
      <c r="C131" s="24">
        <v>1</v>
      </c>
      <c r="D131" s="24" t="s">
        <v>352</v>
      </c>
      <c r="E131" s="24" t="s">
        <v>588</v>
      </c>
      <c r="F131" s="24" t="s">
        <v>63</v>
      </c>
      <c r="G131" s="25">
        <f>' первое чтение вед стр-ра'!G237</f>
        <v>3525.6</v>
      </c>
      <c r="H131" s="25">
        <f>' первое чтение вед стр-ра'!H237</f>
        <v>3525.6</v>
      </c>
      <c r="I131" s="25">
        <f>' первое чтение вед стр-ра'!I237</f>
        <v>3525.6</v>
      </c>
    </row>
    <row r="132" spans="1:9" ht="51" x14ac:dyDescent="0.2">
      <c r="A132" s="18" t="s">
        <v>281</v>
      </c>
      <c r="B132" s="19" t="s">
        <v>29</v>
      </c>
      <c r="C132" s="19">
        <v>1</v>
      </c>
      <c r="D132" s="19" t="s">
        <v>352</v>
      </c>
      <c r="E132" s="19" t="s">
        <v>464</v>
      </c>
      <c r="F132" s="19"/>
      <c r="G132" s="20">
        <f>G134+G133</f>
        <v>145275.20000000001</v>
      </c>
      <c r="H132" s="20">
        <f>H134+H133</f>
        <v>135547.9</v>
      </c>
      <c r="I132" s="20">
        <f>I134+I133</f>
        <v>132083.30000000002</v>
      </c>
    </row>
    <row r="133" spans="1:9" x14ac:dyDescent="0.2">
      <c r="A133" s="28" t="s">
        <v>67</v>
      </c>
      <c r="B133" s="24" t="s">
        <v>29</v>
      </c>
      <c r="C133" s="24">
        <v>1</v>
      </c>
      <c r="D133" s="24" t="s">
        <v>352</v>
      </c>
      <c r="E133" s="24" t="s">
        <v>464</v>
      </c>
      <c r="F133" s="27" t="s">
        <v>68</v>
      </c>
      <c r="G133" s="25">
        <f>' первое чтение вед стр-ра'!G345</f>
        <v>30</v>
      </c>
      <c r="H133" s="25">
        <f>' первое чтение вед стр-ра'!H345</f>
        <v>0</v>
      </c>
      <c r="I133" s="25">
        <f>' первое чтение вед стр-ра'!I345</f>
        <v>0</v>
      </c>
    </row>
    <row r="134" spans="1:9" ht="25.5" x14ac:dyDescent="0.2">
      <c r="A134" s="28" t="s">
        <v>119</v>
      </c>
      <c r="B134" s="24" t="s">
        <v>29</v>
      </c>
      <c r="C134" s="24">
        <v>1</v>
      </c>
      <c r="D134" s="24" t="s">
        <v>352</v>
      </c>
      <c r="E134" s="24" t="s">
        <v>464</v>
      </c>
      <c r="F134" s="24" t="s">
        <v>63</v>
      </c>
      <c r="G134" s="25">
        <f>' первое чтение вед стр-ра'!G346+' первое чтение вед стр-ра'!G251</f>
        <v>145245.20000000001</v>
      </c>
      <c r="H134" s="25">
        <f>' первое чтение вед стр-ра'!H346+' первое чтение вед стр-ра'!H251</f>
        <v>135547.9</v>
      </c>
      <c r="I134" s="25">
        <f>' первое чтение вед стр-ра'!I346+' первое чтение вед стр-ра'!I251</f>
        <v>132083.30000000002</v>
      </c>
    </row>
    <row r="135" spans="1:9" s="194" customFormat="1" ht="25.5" x14ac:dyDescent="0.2">
      <c r="A135" s="18" t="s">
        <v>543</v>
      </c>
      <c r="B135" s="19" t="s">
        <v>29</v>
      </c>
      <c r="C135" s="19">
        <v>1</v>
      </c>
      <c r="D135" s="19" t="s">
        <v>352</v>
      </c>
      <c r="E135" s="19" t="s">
        <v>545</v>
      </c>
      <c r="F135" s="19"/>
      <c r="G135" s="25">
        <f>G136</f>
        <v>14605.6</v>
      </c>
      <c r="H135" s="25">
        <f t="shared" ref="H135:I135" si="24">H136</f>
        <v>14605.6</v>
      </c>
      <c r="I135" s="25">
        <f t="shared" si="24"/>
        <v>14605.6</v>
      </c>
    </row>
    <row r="136" spans="1:9" s="194" customFormat="1" ht="25.5" x14ac:dyDescent="0.2">
      <c r="A136" s="28" t="s">
        <v>119</v>
      </c>
      <c r="B136" s="24" t="s">
        <v>29</v>
      </c>
      <c r="C136" s="24">
        <v>1</v>
      </c>
      <c r="D136" s="24" t="s">
        <v>352</v>
      </c>
      <c r="E136" s="24" t="s">
        <v>545</v>
      </c>
      <c r="F136" s="24" t="s">
        <v>63</v>
      </c>
      <c r="G136" s="25">
        <f>' первое чтение вед стр-ра'!G253</f>
        <v>14605.6</v>
      </c>
      <c r="H136" s="25">
        <f>' первое чтение вед стр-ра'!H253</f>
        <v>14605.6</v>
      </c>
      <c r="I136" s="25">
        <f>' первое чтение вед стр-ра'!I253</f>
        <v>14605.6</v>
      </c>
    </row>
    <row r="137" spans="1:9" s="71" customFormat="1" ht="51" x14ac:dyDescent="0.2">
      <c r="A137" s="67" t="s">
        <v>203</v>
      </c>
      <c r="B137" s="69" t="s">
        <v>29</v>
      </c>
      <c r="C137" s="69">
        <v>1</v>
      </c>
      <c r="D137" s="69" t="s">
        <v>352</v>
      </c>
      <c r="E137" s="69" t="s">
        <v>463</v>
      </c>
      <c r="F137" s="69"/>
      <c r="G137" s="70">
        <f>G138+G139+G140</f>
        <v>7554.6</v>
      </c>
      <c r="H137" s="70">
        <f>H138+H139+H140</f>
        <v>4312.9000000000005</v>
      </c>
      <c r="I137" s="70">
        <f>I138+I139+I140</f>
        <v>3498.7999999999997</v>
      </c>
    </row>
    <row r="138" spans="1:9" s="71" customFormat="1" ht="51" x14ac:dyDescent="0.2">
      <c r="A138" s="72" t="s">
        <v>64</v>
      </c>
      <c r="B138" s="74" t="s">
        <v>29</v>
      </c>
      <c r="C138" s="74">
        <v>1</v>
      </c>
      <c r="D138" s="74" t="s">
        <v>352</v>
      </c>
      <c r="E138" s="74" t="s">
        <v>463</v>
      </c>
      <c r="F138" s="75" t="s">
        <v>65</v>
      </c>
      <c r="G138" s="54">
        <f>' первое чтение вед стр-ра'!G233</f>
        <v>3.3</v>
      </c>
      <c r="H138" s="54">
        <f>' первое чтение вед стр-ра'!H233</f>
        <v>0</v>
      </c>
      <c r="I138" s="54">
        <f>' первое чтение вед стр-ра'!I233</f>
        <v>0</v>
      </c>
    </row>
    <row r="139" spans="1:9" ht="25.5" x14ac:dyDescent="0.2">
      <c r="A139" s="30" t="s">
        <v>355</v>
      </c>
      <c r="B139" s="24" t="s">
        <v>29</v>
      </c>
      <c r="C139" s="24">
        <v>1</v>
      </c>
      <c r="D139" s="24" t="s">
        <v>352</v>
      </c>
      <c r="E139" s="24" t="s">
        <v>463</v>
      </c>
      <c r="F139" s="27" t="s">
        <v>66</v>
      </c>
      <c r="G139" s="54">
        <f>' первое чтение вед стр-ра'!G234</f>
        <v>7230.4000000000005</v>
      </c>
      <c r="H139" s="54">
        <f>' первое чтение вед стр-ра'!H234</f>
        <v>4007.8</v>
      </c>
      <c r="I139" s="54">
        <f>' первое чтение вед стр-ра'!I234</f>
        <v>3193.7</v>
      </c>
    </row>
    <row r="140" spans="1:9" x14ac:dyDescent="0.2">
      <c r="A140" s="28" t="s">
        <v>70</v>
      </c>
      <c r="B140" s="24" t="s">
        <v>29</v>
      </c>
      <c r="C140" s="24">
        <v>1</v>
      </c>
      <c r="D140" s="24" t="s">
        <v>352</v>
      </c>
      <c r="E140" s="24" t="s">
        <v>463</v>
      </c>
      <c r="F140" s="24" t="s">
        <v>71</v>
      </c>
      <c r="G140" s="54">
        <f>' первое чтение вед стр-ра'!G235</f>
        <v>320.89999999999998</v>
      </c>
      <c r="H140" s="54">
        <f>' первое чтение вед стр-ра'!H235</f>
        <v>305.10000000000002</v>
      </c>
      <c r="I140" s="54">
        <f>' первое чтение вед стр-ра'!I235</f>
        <v>305.10000000000002</v>
      </c>
    </row>
    <row r="141" spans="1:9" s="71" customFormat="1" ht="25.5" x14ac:dyDescent="0.2">
      <c r="A141" s="67" t="s">
        <v>282</v>
      </c>
      <c r="B141" s="69" t="s">
        <v>29</v>
      </c>
      <c r="C141" s="69">
        <v>1</v>
      </c>
      <c r="D141" s="69" t="s">
        <v>352</v>
      </c>
      <c r="E141" s="69" t="s">
        <v>462</v>
      </c>
      <c r="F141" s="69"/>
      <c r="G141" s="70">
        <f>G143+G142</f>
        <v>326.3</v>
      </c>
      <c r="H141" s="70">
        <f>H143+H142</f>
        <v>59.4</v>
      </c>
      <c r="I141" s="70">
        <f>I143+I142</f>
        <v>59.4</v>
      </c>
    </row>
    <row r="142" spans="1:9" ht="25.5" x14ac:dyDescent="0.2">
      <c r="A142" s="30" t="s">
        <v>355</v>
      </c>
      <c r="B142" s="24" t="s">
        <v>29</v>
      </c>
      <c r="C142" s="24">
        <v>1</v>
      </c>
      <c r="D142" s="24" t="s">
        <v>352</v>
      </c>
      <c r="E142" s="24" t="s">
        <v>462</v>
      </c>
      <c r="F142" s="24" t="s">
        <v>66</v>
      </c>
      <c r="G142" s="25">
        <f>' первое чтение вед стр-ра'!G263</f>
        <v>4.5</v>
      </c>
      <c r="H142" s="25">
        <f>' первое чтение вед стр-ра'!H263</f>
        <v>0</v>
      </c>
      <c r="I142" s="25">
        <f>' первое чтение вед стр-ра'!I263</f>
        <v>0</v>
      </c>
    </row>
    <row r="143" spans="1:9" s="71" customFormat="1" ht="25.5" x14ac:dyDescent="0.2">
      <c r="A143" s="79" t="s">
        <v>119</v>
      </c>
      <c r="B143" s="74" t="s">
        <v>29</v>
      </c>
      <c r="C143" s="74">
        <v>1</v>
      </c>
      <c r="D143" s="74" t="s">
        <v>352</v>
      </c>
      <c r="E143" s="74" t="s">
        <v>462</v>
      </c>
      <c r="F143" s="74" t="s">
        <v>63</v>
      </c>
      <c r="G143" s="54">
        <f>' первое чтение вед стр-ра'!G264+' первое чтение вед стр-ра'!G349</f>
        <v>321.8</v>
      </c>
      <c r="H143" s="54">
        <f>' первое чтение вед стр-ра'!H264+' первое чтение вед стр-ра'!H349</f>
        <v>59.4</v>
      </c>
      <c r="I143" s="54">
        <f>' первое чтение вед стр-ра'!I264+' первое чтение вед стр-ра'!I349</f>
        <v>59.4</v>
      </c>
    </row>
    <row r="144" spans="1:9" ht="25.5" x14ac:dyDescent="0.2">
      <c r="A144" s="18" t="s">
        <v>282</v>
      </c>
      <c r="B144" s="19" t="s">
        <v>29</v>
      </c>
      <c r="C144" s="19">
        <v>1</v>
      </c>
      <c r="D144" s="19" t="s">
        <v>352</v>
      </c>
      <c r="E144" s="19" t="s">
        <v>461</v>
      </c>
      <c r="F144" s="19"/>
      <c r="G144" s="20">
        <f>G145</f>
        <v>140</v>
      </c>
      <c r="H144" s="20">
        <f>H145</f>
        <v>0</v>
      </c>
      <c r="I144" s="20">
        <f>I145</f>
        <v>0</v>
      </c>
    </row>
    <row r="145" spans="1:9" ht="25.5" x14ac:dyDescent="0.2">
      <c r="A145" s="28" t="s">
        <v>119</v>
      </c>
      <c r="B145" s="24" t="s">
        <v>29</v>
      </c>
      <c r="C145" s="24">
        <v>1</v>
      </c>
      <c r="D145" s="24" t="s">
        <v>352</v>
      </c>
      <c r="E145" s="24" t="s">
        <v>461</v>
      </c>
      <c r="F145" s="24" t="s">
        <v>63</v>
      </c>
      <c r="G145" s="25">
        <f>' первое чтение вед стр-ра'!G261</f>
        <v>140</v>
      </c>
      <c r="H145" s="25">
        <f>' первое чтение вед стр-ра'!H261</f>
        <v>0</v>
      </c>
      <c r="I145" s="25">
        <f>' первое чтение вед стр-ра'!I261</f>
        <v>0</v>
      </c>
    </row>
    <row r="146" spans="1:9" ht="25.5" x14ac:dyDescent="0.2">
      <c r="A146" s="18" t="s">
        <v>146</v>
      </c>
      <c r="B146" s="19" t="s">
        <v>29</v>
      </c>
      <c r="C146" s="19">
        <v>1</v>
      </c>
      <c r="D146" s="19" t="s">
        <v>352</v>
      </c>
      <c r="E146" s="19" t="s">
        <v>460</v>
      </c>
      <c r="F146" s="19"/>
      <c r="G146" s="20">
        <f>G147</f>
        <v>121.1</v>
      </c>
      <c r="H146" s="20">
        <f t="shared" ref="H146:I146" si="25">H147</f>
        <v>121.1</v>
      </c>
      <c r="I146" s="20">
        <f t="shared" si="25"/>
        <v>121.1</v>
      </c>
    </row>
    <row r="147" spans="1:9" ht="25.5" x14ac:dyDescent="0.2">
      <c r="A147" s="30" t="s">
        <v>355</v>
      </c>
      <c r="B147" s="24" t="s">
        <v>29</v>
      </c>
      <c r="C147" s="24">
        <v>1</v>
      </c>
      <c r="D147" s="24" t="s">
        <v>352</v>
      </c>
      <c r="E147" s="24" t="s">
        <v>460</v>
      </c>
      <c r="F147" s="27" t="s">
        <v>66</v>
      </c>
      <c r="G147" s="25">
        <f>' первое чтение вед стр-ра'!G88</f>
        <v>121.1</v>
      </c>
      <c r="H147" s="25">
        <f>' первое чтение вед стр-ра'!H88</f>
        <v>121.1</v>
      </c>
      <c r="I147" s="25">
        <f>' первое чтение вед стр-ра'!I88</f>
        <v>121.1</v>
      </c>
    </row>
    <row r="148" spans="1:9" ht="37.5" customHeight="1" x14ac:dyDescent="0.2">
      <c r="A148" s="18" t="s">
        <v>283</v>
      </c>
      <c r="B148" s="19" t="s">
        <v>29</v>
      </c>
      <c r="C148" s="19">
        <v>1</v>
      </c>
      <c r="D148" s="19" t="s">
        <v>352</v>
      </c>
      <c r="E148" s="19" t="s">
        <v>459</v>
      </c>
      <c r="F148" s="19"/>
      <c r="G148" s="20">
        <f>G149+G150</f>
        <v>783.30000000000007</v>
      </c>
      <c r="H148" s="20">
        <f>H149+H150</f>
        <v>0</v>
      </c>
      <c r="I148" s="20">
        <f>I149+I150</f>
        <v>0</v>
      </c>
    </row>
    <row r="149" spans="1:9" ht="51" x14ac:dyDescent="0.2">
      <c r="A149" s="30" t="s">
        <v>64</v>
      </c>
      <c r="B149" s="24" t="s">
        <v>29</v>
      </c>
      <c r="C149" s="24">
        <v>1</v>
      </c>
      <c r="D149" s="24" t="s">
        <v>352</v>
      </c>
      <c r="E149" s="24" t="s">
        <v>459</v>
      </c>
      <c r="F149" s="27" t="s">
        <v>65</v>
      </c>
      <c r="G149" s="25">
        <f>' первое чтение вед стр-ра'!G266</f>
        <v>43.1</v>
      </c>
      <c r="H149" s="25">
        <f>' первое чтение вед стр-ра'!H266</f>
        <v>0</v>
      </c>
      <c r="I149" s="25">
        <f>' первое чтение вед стр-ра'!I266</f>
        <v>0</v>
      </c>
    </row>
    <row r="150" spans="1:9" ht="25.5" x14ac:dyDescent="0.2">
      <c r="A150" s="28" t="s">
        <v>119</v>
      </c>
      <c r="B150" s="24" t="s">
        <v>29</v>
      </c>
      <c r="C150" s="24">
        <v>1</v>
      </c>
      <c r="D150" s="24" t="s">
        <v>352</v>
      </c>
      <c r="E150" s="24" t="s">
        <v>459</v>
      </c>
      <c r="F150" s="24" t="s">
        <v>63</v>
      </c>
      <c r="G150" s="25">
        <f>' первое чтение вед стр-ра'!G267</f>
        <v>740.2</v>
      </c>
      <c r="H150" s="25">
        <f>' первое чтение вед стр-ра'!H267</f>
        <v>0</v>
      </c>
      <c r="I150" s="25">
        <f>' первое чтение вед стр-ра'!I267</f>
        <v>0</v>
      </c>
    </row>
    <row r="151" spans="1:9" s="71" customFormat="1" ht="25.5" x14ac:dyDescent="0.2">
      <c r="A151" s="67" t="s">
        <v>209</v>
      </c>
      <c r="B151" s="69" t="s">
        <v>29</v>
      </c>
      <c r="C151" s="69">
        <v>1</v>
      </c>
      <c r="D151" s="69" t="s">
        <v>352</v>
      </c>
      <c r="E151" s="69" t="s">
        <v>458</v>
      </c>
      <c r="F151" s="69"/>
      <c r="G151" s="70">
        <f>G154+G153+G152</f>
        <v>567.70000000000005</v>
      </c>
      <c r="H151" s="70">
        <f>H154+H153+H152</f>
        <v>516.1</v>
      </c>
      <c r="I151" s="70">
        <f>I154+I153+I152</f>
        <v>516.1</v>
      </c>
    </row>
    <row r="152" spans="1:9" ht="51" x14ac:dyDescent="0.2">
      <c r="A152" s="30" t="s">
        <v>64</v>
      </c>
      <c r="B152" s="24" t="s">
        <v>29</v>
      </c>
      <c r="C152" s="24">
        <v>1</v>
      </c>
      <c r="D152" s="24" t="s">
        <v>352</v>
      </c>
      <c r="E152" s="24" t="s">
        <v>458</v>
      </c>
      <c r="F152" s="24" t="s">
        <v>65</v>
      </c>
      <c r="G152" s="25">
        <f>' первое чтение вед стр-ра'!G269</f>
        <v>20.6</v>
      </c>
      <c r="H152" s="25">
        <f>' первое чтение вед стр-ра'!H269</f>
        <v>20.6</v>
      </c>
      <c r="I152" s="25">
        <f>' первое чтение вед стр-ра'!I269</f>
        <v>20.6</v>
      </c>
    </row>
    <row r="153" spans="1:9" s="71" customFormat="1" ht="25.5" x14ac:dyDescent="0.2">
      <c r="A153" s="72" t="s">
        <v>355</v>
      </c>
      <c r="B153" s="74" t="s">
        <v>29</v>
      </c>
      <c r="C153" s="74">
        <v>1</v>
      </c>
      <c r="D153" s="74" t="s">
        <v>352</v>
      </c>
      <c r="E153" s="74" t="s">
        <v>458</v>
      </c>
      <c r="F153" s="74" t="s">
        <v>66</v>
      </c>
      <c r="G153" s="25">
        <f>' первое чтение вед стр-ра'!G270</f>
        <v>51.6</v>
      </c>
      <c r="H153" s="25">
        <f>' первое чтение вед стр-ра'!H270</f>
        <v>0</v>
      </c>
      <c r="I153" s="25">
        <f>' первое чтение вед стр-ра'!I270</f>
        <v>0</v>
      </c>
    </row>
    <row r="154" spans="1:9" s="71" customFormat="1" ht="25.5" x14ac:dyDescent="0.2">
      <c r="A154" s="79" t="s">
        <v>119</v>
      </c>
      <c r="B154" s="74" t="s">
        <v>29</v>
      </c>
      <c r="C154" s="74">
        <v>1</v>
      </c>
      <c r="D154" s="74" t="s">
        <v>352</v>
      </c>
      <c r="E154" s="74" t="s">
        <v>458</v>
      </c>
      <c r="F154" s="74" t="s">
        <v>63</v>
      </c>
      <c r="G154" s="25">
        <f>' первое чтение вед стр-ра'!G271</f>
        <v>495.5</v>
      </c>
      <c r="H154" s="25">
        <f>' первое чтение вед стр-ра'!H271</f>
        <v>495.5</v>
      </c>
      <c r="I154" s="25">
        <f>' первое чтение вед стр-ра'!I271</f>
        <v>495.5</v>
      </c>
    </row>
    <row r="155" spans="1:9" s="71" customFormat="1" ht="25.5" x14ac:dyDescent="0.2">
      <c r="A155" s="18" t="s">
        <v>340</v>
      </c>
      <c r="B155" s="74" t="s">
        <v>29</v>
      </c>
      <c r="C155" s="74">
        <v>1</v>
      </c>
      <c r="D155" s="74" t="s">
        <v>352</v>
      </c>
      <c r="E155" s="19" t="s">
        <v>378</v>
      </c>
      <c r="F155" s="19"/>
      <c r="G155" s="20">
        <f>G156</f>
        <v>125</v>
      </c>
      <c r="H155" s="20">
        <f t="shared" ref="H155:I155" si="26">H156</f>
        <v>0</v>
      </c>
      <c r="I155" s="20">
        <f t="shared" si="26"/>
        <v>0</v>
      </c>
    </row>
    <row r="156" spans="1:9" s="71" customFormat="1" ht="25.5" x14ac:dyDescent="0.2">
      <c r="A156" s="28" t="s">
        <v>119</v>
      </c>
      <c r="B156" s="74" t="s">
        <v>29</v>
      </c>
      <c r="C156" s="74">
        <v>1</v>
      </c>
      <c r="D156" s="74" t="s">
        <v>352</v>
      </c>
      <c r="E156" s="24" t="s">
        <v>378</v>
      </c>
      <c r="F156" s="24" t="s">
        <v>63</v>
      </c>
      <c r="G156" s="25">
        <f>' первое чтение вед стр-ра'!G216</f>
        <v>125</v>
      </c>
      <c r="H156" s="25">
        <f>' первое чтение вед стр-ра'!H216</f>
        <v>0</v>
      </c>
      <c r="I156" s="25">
        <f>' первое чтение вед стр-ра'!I216</f>
        <v>0</v>
      </c>
    </row>
    <row r="157" spans="1:9" ht="51" x14ac:dyDescent="0.2">
      <c r="A157" s="52" t="s">
        <v>295</v>
      </c>
      <c r="B157" s="19" t="s">
        <v>29</v>
      </c>
      <c r="C157" s="19">
        <v>1</v>
      </c>
      <c r="D157" s="19" t="s">
        <v>352</v>
      </c>
      <c r="E157" s="19">
        <v>71800</v>
      </c>
      <c r="F157" s="19"/>
      <c r="G157" s="20">
        <f>G160+G158+G159</f>
        <v>264200</v>
      </c>
      <c r="H157" s="20">
        <f>H160+H158+H159</f>
        <v>264200</v>
      </c>
      <c r="I157" s="20">
        <f>I160+I158+I159</f>
        <v>264200</v>
      </c>
    </row>
    <row r="158" spans="1:9" s="71" customFormat="1" ht="51" x14ac:dyDescent="0.2">
      <c r="A158" s="72" t="s">
        <v>64</v>
      </c>
      <c r="B158" s="74" t="s">
        <v>29</v>
      </c>
      <c r="C158" s="74">
        <v>1</v>
      </c>
      <c r="D158" s="74" t="s">
        <v>352</v>
      </c>
      <c r="E158" s="74">
        <v>71800</v>
      </c>
      <c r="F158" s="75" t="s">
        <v>65</v>
      </c>
      <c r="G158" s="54">
        <f>' первое чтение вед стр-ра'!G206</f>
        <v>47990</v>
      </c>
      <c r="H158" s="54">
        <f>' первое чтение вед стр-ра'!H206</f>
        <v>47990</v>
      </c>
      <c r="I158" s="54">
        <f>' первое чтение вед стр-ра'!I206</f>
        <v>47990</v>
      </c>
    </row>
    <row r="159" spans="1:9" ht="25.5" x14ac:dyDescent="0.2">
      <c r="A159" s="30" t="s">
        <v>355</v>
      </c>
      <c r="B159" s="24" t="s">
        <v>29</v>
      </c>
      <c r="C159" s="24">
        <v>1</v>
      </c>
      <c r="D159" s="24" t="s">
        <v>352</v>
      </c>
      <c r="E159" s="24">
        <v>71800</v>
      </c>
      <c r="F159" s="27" t="s">
        <v>66</v>
      </c>
      <c r="G159" s="54">
        <f>' первое чтение вед стр-ра'!G207</f>
        <v>189.2</v>
      </c>
      <c r="H159" s="54">
        <f>' первое чтение вед стр-ра'!H207</f>
        <v>189.2</v>
      </c>
      <c r="I159" s="54">
        <f>' первое чтение вед стр-ра'!I207</f>
        <v>189.2</v>
      </c>
    </row>
    <row r="160" spans="1:9" s="76" customFormat="1" ht="25.5" x14ac:dyDescent="0.2">
      <c r="A160" s="79" t="s">
        <v>119</v>
      </c>
      <c r="B160" s="74" t="s">
        <v>29</v>
      </c>
      <c r="C160" s="74">
        <v>1</v>
      </c>
      <c r="D160" s="74" t="s">
        <v>352</v>
      </c>
      <c r="E160" s="74">
        <v>71800</v>
      </c>
      <c r="F160" s="74" t="s">
        <v>63</v>
      </c>
      <c r="G160" s="54">
        <f>' первое чтение вед стр-ра'!G208</f>
        <v>216020.8</v>
      </c>
      <c r="H160" s="54">
        <f>' первое чтение вед стр-ра'!H208</f>
        <v>216020.8</v>
      </c>
      <c r="I160" s="54">
        <f>' первое чтение вед стр-ра'!I208</f>
        <v>216020.8</v>
      </c>
    </row>
    <row r="161" spans="1:9" ht="25.5" x14ac:dyDescent="0.2">
      <c r="A161" s="18" t="s">
        <v>196</v>
      </c>
      <c r="B161" s="19" t="s">
        <v>29</v>
      </c>
      <c r="C161" s="19">
        <v>1</v>
      </c>
      <c r="D161" s="19" t="s">
        <v>352</v>
      </c>
      <c r="E161" s="19">
        <v>71820</v>
      </c>
      <c r="F161" s="19"/>
      <c r="G161" s="20">
        <f>G162+G164+G163</f>
        <v>50379</v>
      </c>
      <c r="H161" s="20">
        <f>H162+H164+H163</f>
        <v>50379</v>
      </c>
      <c r="I161" s="20">
        <f>I162+I164+I163</f>
        <v>50379</v>
      </c>
    </row>
    <row r="162" spans="1:9" s="71" customFormat="1" ht="51" x14ac:dyDescent="0.2">
      <c r="A162" s="72" t="s">
        <v>64</v>
      </c>
      <c r="B162" s="74" t="s">
        <v>29</v>
      </c>
      <c r="C162" s="74">
        <v>1</v>
      </c>
      <c r="D162" s="74" t="s">
        <v>352</v>
      </c>
      <c r="E162" s="74">
        <v>71820</v>
      </c>
      <c r="F162" s="75" t="s">
        <v>65</v>
      </c>
      <c r="G162" s="54">
        <f>' первое чтение вед стр-ра'!G221</f>
        <v>35733.599999999999</v>
      </c>
      <c r="H162" s="54">
        <f>' первое чтение вед стр-ра'!H221</f>
        <v>35733.599999999999</v>
      </c>
      <c r="I162" s="54">
        <f>' первое чтение вед стр-ра'!I221</f>
        <v>35733.599999999999</v>
      </c>
    </row>
    <row r="163" spans="1:9" s="71" customFormat="1" ht="25.5" x14ac:dyDescent="0.2">
      <c r="A163" s="72" t="s">
        <v>355</v>
      </c>
      <c r="B163" s="74" t="s">
        <v>29</v>
      </c>
      <c r="C163" s="74" t="s">
        <v>395</v>
      </c>
      <c r="D163" s="74" t="s">
        <v>352</v>
      </c>
      <c r="E163" s="74">
        <v>71820</v>
      </c>
      <c r="F163" s="75" t="s">
        <v>66</v>
      </c>
      <c r="G163" s="54">
        <f>' первое чтение вед стр-ра'!G222</f>
        <v>14203.5</v>
      </c>
      <c r="H163" s="54">
        <f>' первое чтение вед стр-ра'!H222</f>
        <v>14203.5</v>
      </c>
      <c r="I163" s="54">
        <f>' первое чтение вед стр-ра'!I222</f>
        <v>14203.5</v>
      </c>
    </row>
    <row r="164" spans="1:9" x14ac:dyDescent="0.2">
      <c r="A164" s="28" t="s">
        <v>70</v>
      </c>
      <c r="B164" s="24" t="s">
        <v>29</v>
      </c>
      <c r="C164" s="24">
        <v>1</v>
      </c>
      <c r="D164" s="24" t="s">
        <v>352</v>
      </c>
      <c r="E164" s="24">
        <v>71820</v>
      </c>
      <c r="F164" s="24" t="s">
        <v>71</v>
      </c>
      <c r="G164" s="54">
        <f>' первое чтение вед стр-ра'!G223</f>
        <v>441.9</v>
      </c>
      <c r="H164" s="54">
        <f>' первое чтение вед стр-ра'!H223</f>
        <v>441.9</v>
      </c>
      <c r="I164" s="54">
        <f>' первое чтение вед стр-ра'!I223</f>
        <v>441.9</v>
      </c>
    </row>
    <row r="165" spans="1:9" ht="63.75" x14ac:dyDescent="0.2">
      <c r="A165" s="18" t="s">
        <v>457</v>
      </c>
      <c r="B165" s="19" t="s">
        <v>29</v>
      </c>
      <c r="C165" s="19">
        <v>1</v>
      </c>
      <c r="D165" s="19" t="s">
        <v>352</v>
      </c>
      <c r="E165" s="19">
        <v>71830</v>
      </c>
      <c r="F165" s="19"/>
      <c r="G165" s="20">
        <f>G168+G167+G166</f>
        <v>424840</v>
      </c>
      <c r="H165" s="20">
        <f>H168+H167+H166</f>
        <v>424840</v>
      </c>
      <c r="I165" s="20">
        <f>I168+I167+I166</f>
        <v>424840</v>
      </c>
    </row>
    <row r="166" spans="1:9" s="71" customFormat="1" ht="51" x14ac:dyDescent="0.2">
      <c r="A166" s="72" t="s">
        <v>64</v>
      </c>
      <c r="B166" s="74" t="s">
        <v>29</v>
      </c>
      <c r="C166" s="74">
        <v>1</v>
      </c>
      <c r="D166" s="74" t="s">
        <v>352</v>
      </c>
      <c r="E166" s="74">
        <v>71830</v>
      </c>
      <c r="F166" s="75" t="s">
        <v>65</v>
      </c>
      <c r="G166" s="54">
        <f>' первое чтение вед стр-ра'!G225</f>
        <v>68740</v>
      </c>
      <c r="H166" s="54">
        <f>' первое чтение вед стр-ра'!H225</f>
        <v>68740</v>
      </c>
      <c r="I166" s="54">
        <f>' первое чтение вед стр-ра'!I225</f>
        <v>68740</v>
      </c>
    </row>
    <row r="167" spans="1:9" s="71" customFormat="1" ht="25.5" x14ac:dyDescent="0.2">
      <c r="A167" s="72" t="s">
        <v>355</v>
      </c>
      <c r="B167" s="74" t="s">
        <v>29</v>
      </c>
      <c r="C167" s="74">
        <v>1</v>
      </c>
      <c r="D167" s="74" t="s">
        <v>352</v>
      </c>
      <c r="E167" s="74">
        <v>71830</v>
      </c>
      <c r="F167" s="75" t="s">
        <v>66</v>
      </c>
      <c r="G167" s="54">
        <f>' первое чтение вед стр-ра'!G226</f>
        <v>2061.1</v>
      </c>
      <c r="H167" s="54">
        <f>' первое чтение вед стр-ра'!H226</f>
        <v>2061.1</v>
      </c>
      <c r="I167" s="54">
        <f>' первое чтение вед стр-ра'!I226</f>
        <v>2061.1</v>
      </c>
    </row>
    <row r="168" spans="1:9" s="71" customFormat="1" ht="25.5" x14ac:dyDescent="0.2">
      <c r="A168" s="79" t="s">
        <v>119</v>
      </c>
      <c r="B168" s="74" t="s">
        <v>29</v>
      </c>
      <c r="C168" s="74">
        <v>1</v>
      </c>
      <c r="D168" s="74" t="s">
        <v>352</v>
      </c>
      <c r="E168" s="74">
        <v>71830</v>
      </c>
      <c r="F168" s="74" t="s">
        <v>63</v>
      </c>
      <c r="G168" s="54">
        <f>' первое чтение вед стр-ра'!G227</f>
        <v>354038.9</v>
      </c>
      <c r="H168" s="54">
        <f>' первое чтение вед стр-ра'!H227</f>
        <v>354038.9</v>
      </c>
      <c r="I168" s="54">
        <f>' первое чтение вед стр-ра'!I227</f>
        <v>354038.9</v>
      </c>
    </row>
    <row r="169" spans="1:9" ht="38.25" x14ac:dyDescent="0.2">
      <c r="A169" s="18" t="s">
        <v>198</v>
      </c>
      <c r="B169" s="19" t="s">
        <v>29</v>
      </c>
      <c r="C169" s="19">
        <v>1</v>
      </c>
      <c r="D169" s="19" t="s">
        <v>352</v>
      </c>
      <c r="E169" s="19">
        <v>71840</v>
      </c>
      <c r="F169" s="19"/>
      <c r="G169" s="20">
        <f>G170</f>
        <v>3880.1</v>
      </c>
      <c r="H169" s="20">
        <f>H170</f>
        <v>3880.1</v>
      </c>
      <c r="I169" s="20">
        <f>I170</f>
        <v>3880.1</v>
      </c>
    </row>
    <row r="170" spans="1:9" ht="25.5" x14ac:dyDescent="0.2">
      <c r="A170" s="30" t="s">
        <v>355</v>
      </c>
      <c r="B170" s="24" t="s">
        <v>29</v>
      </c>
      <c r="C170" s="24">
        <v>1</v>
      </c>
      <c r="D170" s="24" t="s">
        <v>352</v>
      </c>
      <c r="E170" s="24">
        <v>71840</v>
      </c>
      <c r="F170" s="27" t="s">
        <v>66</v>
      </c>
      <c r="G170" s="25">
        <f>' первое чтение вед стр-ра'!G229</f>
        <v>3880.1</v>
      </c>
      <c r="H170" s="25">
        <f>' первое чтение вед стр-ра'!H229</f>
        <v>3880.1</v>
      </c>
      <c r="I170" s="25">
        <f>' первое чтение вед стр-ра'!I229</f>
        <v>3880.1</v>
      </c>
    </row>
    <row r="171" spans="1:9" s="194" customFormat="1" ht="25.5" x14ac:dyDescent="0.2">
      <c r="A171" s="18" t="s">
        <v>199</v>
      </c>
      <c r="B171" s="24" t="s">
        <v>29</v>
      </c>
      <c r="C171" s="19" t="s">
        <v>395</v>
      </c>
      <c r="D171" s="19" t="s">
        <v>352</v>
      </c>
      <c r="E171" s="19" t="s">
        <v>456</v>
      </c>
      <c r="F171" s="19"/>
      <c r="G171" s="20">
        <f>G173+G172</f>
        <v>365</v>
      </c>
      <c r="H171" s="20">
        <f>H173+H172</f>
        <v>365</v>
      </c>
      <c r="I171" s="20">
        <f>I173+I172</f>
        <v>365</v>
      </c>
    </row>
    <row r="172" spans="1:9" s="194" customFormat="1" ht="25.5" x14ac:dyDescent="0.2">
      <c r="A172" s="30" t="s">
        <v>355</v>
      </c>
      <c r="B172" s="24" t="s">
        <v>29</v>
      </c>
      <c r="C172" s="24" t="s">
        <v>395</v>
      </c>
      <c r="D172" s="24" t="s">
        <v>352</v>
      </c>
      <c r="E172" s="19" t="s">
        <v>456</v>
      </c>
      <c r="F172" s="24" t="s">
        <v>66</v>
      </c>
      <c r="G172" s="25">
        <f>' первое чтение вед стр-ра'!G239</f>
        <v>57.7</v>
      </c>
      <c r="H172" s="25">
        <f>' первое чтение вед стр-ра'!H239</f>
        <v>57.7</v>
      </c>
      <c r="I172" s="25">
        <f>' первое чтение вед стр-ра'!I239</f>
        <v>57.7</v>
      </c>
    </row>
    <row r="173" spans="1:9" s="194" customFormat="1" ht="25.5" x14ac:dyDescent="0.2">
      <c r="A173" s="28" t="s">
        <v>119</v>
      </c>
      <c r="B173" s="24" t="s">
        <v>29</v>
      </c>
      <c r="C173" s="24" t="s">
        <v>395</v>
      </c>
      <c r="D173" s="24" t="s">
        <v>352</v>
      </c>
      <c r="E173" s="19" t="s">
        <v>456</v>
      </c>
      <c r="F173" s="24" t="s">
        <v>63</v>
      </c>
      <c r="G173" s="25">
        <f>' первое чтение вед стр-ра'!G240</f>
        <v>307.3</v>
      </c>
      <c r="H173" s="25">
        <f>' первое чтение вед стр-ра'!H240</f>
        <v>307.3</v>
      </c>
      <c r="I173" s="25">
        <f>' первое чтение вед стр-ра'!I240</f>
        <v>307.3</v>
      </c>
    </row>
    <row r="174" spans="1:9" s="194" customFormat="1" ht="25.5" x14ac:dyDescent="0.2">
      <c r="A174" s="18" t="s">
        <v>156</v>
      </c>
      <c r="B174" s="24" t="s">
        <v>29</v>
      </c>
      <c r="C174" s="19" t="s">
        <v>395</v>
      </c>
      <c r="D174" s="19" t="s">
        <v>352</v>
      </c>
      <c r="E174" s="19" t="s">
        <v>455</v>
      </c>
      <c r="F174" s="19"/>
      <c r="G174" s="20">
        <f>G176+G175</f>
        <v>4445</v>
      </c>
      <c r="H174" s="20">
        <f>H176+H175</f>
        <v>4445</v>
      </c>
      <c r="I174" s="20">
        <f>I176+I175</f>
        <v>4445</v>
      </c>
    </row>
    <row r="175" spans="1:9" s="194" customFormat="1" ht="25.5" x14ac:dyDescent="0.2">
      <c r="A175" s="30" t="s">
        <v>355</v>
      </c>
      <c r="B175" s="24" t="s">
        <v>29</v>
      </c>
      <c r="C175" s="24" t="s">
        <v>395</v>
      </c>
      <c r="D175" s="24" t="s">
        <v>352</v>
      </c>
      <c r="E175" s="24" t="s">
        <v>455</v>
      </c>
      <c r="F175" s="24" t="s">
        <v>66</v>
      </c>
      <c r="G175" s="25">
        <f>' первое чтение вед стр-ра'!G258</f>
        <v>101.25</v>
      </c>
      <c r="H175" s="25">
        <f>' первое чтение вед стр-ра'!H258</f>
        <v>101.25</v>
      </c>
      <c r="I175" s="25">
        <f>' первое чтение вед стр-ра'!I258</f>
        <v>101.25</v>
      </c>
    </row>
    <row r="176" spans="1:9" s="71" customFormat="1" ht="25.5" x14ac:dyDescent="0.2">
      <c r="A176" s="79" t="s">
        <v>119</v>
      </c>
      <c r="B176" s="74" t="s">
        <v>29</v>
      </c>
      <c r="C176" s="74" t="s">
        <v>395</v>
      </c>
      <c r="D176" s="74" t="s">
        <v>352</v>
      </c>
      <c r="E176" s="74" t="s">
        <v>455</v>
      </c>
      <c r="F176" s="74" t="s">
        <v>63</v>
      </c>
      <c r="G176" s="54">
        <f>' первое чтение вед стр-ра'!G259</f>
        <v>4343.75</v>
      </c>
      <c r="H176" s="54">
        <f>' первое чтение вед стр-ра'!H259</f>
        <v>4343.75</v>
      </c>
      <c r="I176" s="54">
        <f>' первое чтение вед стр-ра'!I259</f>
        <v>4343.75</v>
      </c>
    </row>
    <row r="177" spans="1:9" s="71" customFormat="1" x14ac:dyDescent="0.2">
      <c r="A177" s="131" t="s">
        <v>454</v>
      </c>
      <c r="B177" s="129" t="s">
        <v>29</v>
      </c>
      <c r="C177" s="129" t="s">
        <v>390</v>
      </c>
      <c r="D177" s="129"/>
      <c r="E177" s="129"/>
      <c r="F177" s="129"/>
      <c r="G177" s="128">
        <f>SUM(G178,G181,G185,G192,G195,G197,G201,G204,G208)+G189+G183+G210+G212+G199+G206+G215</f>
        <v>54121.1</v>
      </c>
      <c r="H177" s="128">
        <f t="shared" ref="H177:I177" si="27">SUM(H178,H181,H185,H192,H195,H197,H201,H204,H208)+H189+H183+H210+H212+H199+H206+H215</f>
        <v>53944.1</v>
      </c>
      <c r="I177" s="128">
        <f t="shared" si="27"/>
        <v>53964</v>
      </c>
    </row>
    <row r="178" spans="1:9" s="71" customFormat="1" x14ac:dyDescent="0.2">
      <c r="A178" s="67" t="s">
        <v>284</v>
      </c>
      <c r="B178" s="69" t="s">
        <v>29</v>
      </c>
      <c r="C178" s="69">
        <v>2</v>
      </c>
      <c r="D178" s="69" t="s">
        <v>352</v>
      </c>
      <c r="E178" s="69" t="s">
        <v>453</v>
      </c>
      <c r="F178" s="69"/>
      <c r="G178" s="70">
        <f>G180+G179</f>
        <v>250</v>
      </c>
      <c r="H178" s="70">
        <f>H180+H179</f>
        <v>0</v>
      </c>
      <c r="I178" s="70">
        <f>I180+I179</f>
        <v>0</v>
      </c>
    </row>
    <row r="179" spans="1:9" x14ac:dyDescent="0.2">
      <c r="A179" s="28" t="s">
        <v>67</v>
      </c>
      <c r="B179" s="19" t="s">
        <v>29</v>
      </c>
      <c r="C179" s="19">
        <v>2</v>
      </c>
      <c r="D179" s="19" t="s">
        <v>352</v>
      </c>
      <c r="E179" s="19" t="s">
        <v>453</v>
      </c>
      <c r="F179" s="24" t="s">
        <v>68</v>
      </c>
      <c r="G179" s="25">
        <f>' первое чтение вед стр-ра'!G245</f>
        <v>20</v>
      </c>
      <c r="H179" s="25">
        <f>' первое чтение вед стр-ра'!H245</f>
        <v>0</v>
      </c>
      <c r="I179" s="25">
        <f>' первое чтение вед стр-ра'!I245</f>
        <v>0</v>
      </c>
    </row>
    <row r="180" spans="1:9" s="71" customFormat="1" ht="25.5" x14ac:dyDescent="0.2">
      <c r="A180" s="79" t="s">
        <v>119</v>
      </c>
      <c r="B180" s="69" t="s">
        <v>29</v>
      </c>
      <c r="C180" s="69">
        <v>2</v>
      </c>
      <c r="D180" s="69" t="s">
        <v>352</v>
      </c>
      <c r="E180" s="69" t="s">
        <v>453</v>
      </c>
      <c r="F180" s="74" t="s">
        <v>63</v>
      </c>
      <c r="G180" s="25">
        <f>' первое чтение вед стр-ра'!G246</f>
        <v>230</v>
      </c>
      <c r="H180" s="25">
        <f>' первое чтение вед стр-ра'!H246</f>
        <v>0</v>
      </c>
      <c r="I180" s="25">
        <f>' первое чтение вед стр-ра'!I246</f>
        <v>0</v>
      </c>
    </row>
    <row r="181" spans="1:9" ht="25.5" x14ac:dyDescent="0.2">
      <c r="A181" s="18" t="s">
        <v>217</v>
      </c>
      <c r="B181" s="19" t="s">
        <v>29</v>
      </c>
      <c r="C181" s="19">
        <v>2</v>
      </c>
      <c r="D181" s="19" t="s">
        <v>352</v>
      </c>
      <c r="E181" s="19">
        <v>52600</v>
      </c>
      <c r="F181" s="19"/>
      <c r="G181" s="20">
        <f>G182</f>
        <v>1200</v>
      </c>
      <c r="H181" s="20">
        <f>H182</f>
        <v>1310</v>
      </c>
      <c r="I181" s="20">
        <f>I182</f>
        <v>1330</v>
      </c>
    </row>
    <row r="182" spans="1:9" s="26" customFormat="1" x14ac:dyDescent="0.2">
      <c r="A182" s="28" t="s">
        <v>67</v>
      </c>
      <c r="B182" s="24" t="s">
        <v>29</v>
      </c>
      <c r="C182" s="24">
        <v>2</v>
      </c>
      <c r="D182" s="24" t="s">
        <v>352</v>
      </c>
      <c r="E182" s="24">
        <v>52600</v>
      </c>
      <c r="F182" s="24" t="s">
        <v>68</v>
      </c>
      <c r="G182" s="25">
        <f>' первое чтение вед стр-ра'!G303</f>
        <v>1200</v>
      </c>
      <c r="H182" s="25">
        <f>' первое чтение вед стр-ра'!H303</f>
        <v>1310</v>
      </c>
      <c r="I182" s="25">
        <f>' первое чтение вед стр-ра'!I303</f>
        <v>1330</v>
      </c>
    </row>
    <row r="183" spans="1:9" x14ac:dyDescent="0.2">
      <c r="A183" s="18" t="s">
        <v>226</v>
      </c>
      <c r="B183" s="19" t="s">
        <v>29</v>
      </c>
      <c r="C183" s="19">
        <v>2</v>
      </c>
      <c r="D183" s="19" t="s">
        <v>352</v>
      </c>
      <c r="E183" s="19" t="s">
        <v>452</v>
      </c>
      <c r="F183" s="19"/>
      <c r="G183" s="20">
        <f>G184</f>
        <v>219.6</v>
      </c>
      <c r="H183" s="20">
        <f>H184</f>
        <v>219.6</v>
      </c>
      <c r="I183" s="20">
        <f>I184</f>
        <v>219.6</v>
      </c>
    </row>
    <row r="184" spans="1:9" ht="51" x14ac:dyDescent="0.2">
      <c r="A184" s="30" t="s">
        <v>64</v>
      </c>
      <c r="B184" s="19" t="s">
        <v>29</v>
      </c>
      <c r="C184" s="19">
        <v>2</v>
      </c>
      <c r="D184" s="19" t="s">
        <v>352</v>
      </c>
      <c r="E184" s="27" t="s">
        <v>452</v>
      </c>
      <c r="F184" s="27" t="s">
        <v>65</v>
      </c>
      <c r="G184" s="25">
        <f>' первое чтение вед стр-ра'!G385</f>
        <v>219.6</v>
      </c>
      <c r="H184" s="25">
        <f>' первое чтение вед стр-ра'!H385</f>
        <v>219.6</v>
      </c>
      <c r="I184" s="25">
        <f>' первое чтение вед стр-ра'!I385</f>
        <v>219.6</v>
      </c>
    </row>
    <row r="185" spans="1:9" s="71" customFormat="1" ht="38.25" x14ac:dyDescent="0.2">
      <c r="A185" s="67" t="s">
        <v>218</v>
      </c>
      <c r="B185" s="69" t="s">
        <v>29</v>
      </c>
      <c r="C185" s="69">
        <v>2</v>
      </c>
      <c r="D185" s="69" t="s">
        <v>352</v>
      </c>
      <c r="E185" s="69">
        <v>71810</v>
      </c>
      <c r="F185" s="69"/>
      <c r="G185" s="70">
        <f>G187+G188+G186</f>
        <v>2260.1000000000004</v>
      </c>
      <c r="H185" s="70">
        <f>H187+H188+H186</f>
        <v>2260.1000000000004</v>
      </c>
      <c r="I185" s="70">
        <f>I187+I188+I186</f>
        <v>2260.1000000000004</v>
      </c>
    </row>
    <row r="186" spans="1:9" s="71" customFormat="1" ht="25.5" x14ac:dyDescent="0.2">
      <c r="A186" s="72" t="s">
        <v>355</v>
      </c>
      <c r="B186" s="74" t="s">
        <v>29</v>
      </c>
      <c r="C186" s="74">
        <v>2</v>
      </c>
      <c r="D186" s="74" t="s">
        <v>352</v>
      </c>
      <c r="E186" s="74">
        <v>71810</v>
      </c>
      <c r="F186" s="75" t="s">
        <v>66</v>
      </c>
      <c r="G186" s="54">
        <f>' первое чтение вед стр-ра'!G305</f>
        <v>1.8</v>
      </c>
      <c r="H186" s="54">
        <f>' первое чтение вед стр-ра'!H305</f>
        <v>1.8</v>
      </c>
      <c r="I186" s="54">
        <f>' первое чтение вед стр-ра'!I305</f>
        <v>1.8</v>
      </c>
    </row>
    <row r="187" spans="1:9" s="71" customFormat="1" x14ac:dyDescent="0.2">
      <c r="A187" s="79" t="s">
        <v>67</v>
      </c>
      <c r="B187" s="74" t="s">
        <v>29</v>
      </c>
      <c r="C187" s="74">
        <v>2</v>
      </c>
      <c r="D187" s="74" t="s">
        <v>352</v>
      </c>
      <c r="E187" s="74">
        <v>71810</v>
      </c>
      <c r="F187" s="139">
        <v>300</v>
      </c>
      <c r="G187" s="54">
        <f>' первое чтение вед стр-ра'!G306</f>
        <v>360</v>
      </c>
      <c r="H187" s="54">
        <f>' первое чтение вед стр-ра'!H306</f>
        <v>360</v>
      </c>
      <c r="I187" s="54">
        <f>' первое чтение вед стр-ра'!I306</f>
        <v>360</v>
      </c>
    </row>
    <row r="188" spans="1:9" s="71" customFormat="1" ht="25.5" x14ac:dyDescent="0.2">
      <c r="A188" s="79" t="s">
        <v>119</v>
      </c>
      <c r="B188" s="74" t="s">
        <v>29</v>
      </c>
      <c r="C188" s="74">
        <v>2</v>
      </c>
      <c r="D188" s="74" t="s">
        <v>352</v>
      </c>
      <c r="E188" s="74">
        <v>71810</v>
      </c>
      <c r="F188" s="74" t="s">
        <v>63</v>
      </c>
      <c r="G188" s="54">
        <f>' первое чтение вед стр-ра'!G307</f>
        <v>1898.3</v>
      </c>
      <c r="H188" s="54">
        <f>' первое чтение вед стр-ра'!H307</f>
        <v>1898.3</v>
      </c>
      <c r="I188" s="54">
        <f>' первое чтение вед стр-ра'!I307</f>
        <v>1898.3</v>
      </c>
    </row>
    <row r="189" spans="1:9" ht="25.5" x14ac:dyDescent="0.2">
      <c r="A189" s="18" t="s">
        <v>204</v>
      </c>
      <c r="B189" s="19" t="s">
        <v>29</v>
      </c>
      <c r="C189" s="19">
        <v>2</v>
      </c>
      <c r="D189" s="19" t="s">
        <v>352</v>
      </c>
      <c r="E189" s="19" t="s">
        <v>451</v>
      </c>
      <c r="F189" s="19"/>
      <c r="G189" s="20">
        <f>G191+G190</f>
        <v>1209</v>
      </c>
      <c r="H189" s="20">
        <f>H191+H190</f>
        <v>1209</v>
      </c>
      <c r="I189" s="20">
        <f>I191+I190</f>
        <v>1209</v>
      </c>
    </row>
    <row r="190" spans="1:9" s="9" customFormat="1" x14ac:dyDescent="0.2">
      <c r="A190" s="28" t="s">
        <v>67</v>
      </c>
      <c r="B190" s="19" t="s">
        <v>29</v>
      </c>
      <c r="C190" s="19">
        <v>2</v>
      </c>
      <c r="D190" s="19" t="s">
        <v>352</v>
      </c>
      <c r="E190" s="19" t="s">
        <v>451</v>
      </c>
      <c r="F190" s="24" t="s">
        <v>68</v>
      </c>
      <c r="G190" s="25">
        <f>' первое чтение вед стр-ра'!G242</f>
        <v>31.1</v>
      </c>
      <c r="H190" s="25">
        <f>' первое чтение вед стр-ра'!H242</f>
        <v>31.1</v>
      </c>
      <c r="I190" s="25">
        <f>' первое чтение вед стр-ра'!I242</f>
        <v>31.1</v>
      </c>
    </row>
    <row r="191" spans="1:9" ht="25.5" x14ac:dyDescent="0.2">
      <c r="A191" s="28" t="s">
        <v>119</v>
      </c>
      <c r="B191" s="19" t="s">
        <v>29</v>
      </c>
      <c r="C191" s="19">
        <v>2</v>
      </c>
      <c r="D191" s="19" t="s">
        <v>352</v>
      </c>
      <c r="E191" s="19" t="s">
        <v>451</v>
      </c>
      <c r="F191" s="24" t="s">
        <v>63</v>
      </c>
      <c r="G191" s="25">
        <f>' первое чтение вед стр-ра'!G243</f>
        <v>1177.9000000000001</v>
      </c>
      <c r="H191" s="25">
        <f>' первое чтение вед стр-ра'!H243</f>
        <v>1177.9000000000001</v>
      </c>
      <c r="I191" s="25">
        <f>' первое чтение вед стр-ра'!I243</f>
        <v>1177.9000000000001</v>
      </c>
    </row>
    <row r="192" spans="1:9" ht="25.5" x14ac:dyDescent="0.2">
      <c r="A192" s="18" t="s">
        <v>296</v>
      </c>
      <c r="B192" s="19" t="s">
        <v>29</v>
      </c>
      <c r="C192" s="19">
        <v>2</v>
      </c>
      <c r="D192" s="19" t="s">
        <v>352</v>
      </c>
      <c r="E192" s="19">
        <v>72010</v>
      </c>
      <c r="F192" s="19"/>
      <c r="G192" s="20">
        <f>G193+G194</f>
        <v>1600</v>
      </c>
      <c r="H192" s="20">
        <f>H193+H194</f>
        <v>1600</v>
      </c>
      <c r="I192" s="20">
        <f>I193+I194</f>
        <v>1600</v>
      </c>
    </row>
    <row r="193" spans="1:9" x14ac:dyDescent="0.2">
      <c r="A193" s="28" t="s">
        <v>67</v>
      </c>
      <c r="B193" s="24" t="s">
        <v>29</v>
      </c>
      <c r="C193" s="24">
        <v>2</v>
      </c>
      <c r="D193" s="24" t="s">
        <v>352</v>
      </c>
      <c r="E193" s="24">
        <v>72010</v>
      </c>
      <c r="F193" s="24" t="s">
        <v>68</v>
      </c>
      <c r="G193" s="25">
        <f>' первое чтение вед стр-ра'!G288+' первое чтение вед стр-ра'!G377</f>
        <v>258.7</v>
      </c>
      <c r="H193" s="25">
        <f>' первое чтение вед стр-ра'!H288+' первое чтение вед стр-ра'!H377</f>
        <v>258.7</v>
      </c>
      <c r="I193" s="25">
        <f>' первое чтение вед стр-ра'!I288+' первое чтение вед стр-ра'!I377</f>
        <v>258.7</v>
      </c>
    </row>
    <row r="194" spans="1:9" ht="25.5" x14ac:dyDescent="0.2">
      <c r="A194" s="28" t="s">
        <v>119</v>
      </c>
      <c r="B194" s="24" t="s">
        <v>29</v>
      </c>
      <c r="C194" s="24">
        <v>2</v>
      </c>
      <c r="D194" s="24" t="s">
        <v>352</v>
      </c>
      <c r="E194" s="24">
        <v>72010</v>
      </c>
      <c r="F194" s="24" t="s">
        <v>63</v>
      </c>
      <c r="G194" s="25">
        <f>' первое чтение вед стр-ра'!G289</f>
        <v>1341.3</v>
      </c>
      <c r="H194" s="25">
        <f>' первое чтение вед стр-ра'!H289</f>
        <v>1341.3</v>
      </c>
      <c r="I194" s="25">
        <f>' первое чтение вед стр-ра'!I289</f>
        <v>1341.3</v>
      </c>
    </row>
    <row r="195" spans="1:9" ht="38.25" x14ac:dyDescent="0.2">
      <c r="A195" s="18" t="s">
        <v>213</v>
      </c>
      <c r="B195" s="19" t="s">
        <v>29</v>
      </c>
      <c r="C195" s="19">
        <v>2</v>
      </c>
      <c r="D195" s="19" t="s">
        <v>352</v>
      </c>
      <c r="E195" s="19">
        <v>72030</v>
      </c>
      <c r="F195" s="19"/>
      <c r="G195" s="20">
        <f>G196</f>
        <v>207</v>
      </c>
      <c r="H195" s="20">
        <f>H196</f>
        <v>207</v>
      </c>
      <c r="I195" s="20">
        <f>I196</f>
        <v>207</v>
      </c>
    </row>
    <row r="196" spans="1:9" x14ac:dyDescent="0.2">
      <c r="A196" s="28" t="s">
        <v>67</v>
      </c>
      <c r="B196" s="24" t="s">
        <v>29</v>
      </c>
      <c r="C196" s="24">
        <v>2</v>
      </c>
      <c r="D196" s="24" t="s">
        <v>352</v>
      </c>
      <c r="E196" s="24">
        <v>72030</v>
      </c>
      <c r="F196" s="123">
        <v>300</v>
      </c>
      <c r="G196" s="25">
        <f>' первое чтение вед стр-ра'!G291</f>
        <v>207</v>
      </c>
      <c r="H196" s="25">
        <f>' первое чтение вед стр-ра'!H291</f>
        <v>207</v>
      </c>
      <c r="I196" s="25">
        <f>' первое чтение вед стр-ра'!I291</f>
        <v>207</v>
      </c>
    </row>
    <row r="197" spans="1:9" ht="38.25" x14ac:dyDescent="0.2">
      <c r="A197" s="46" t="s">
        <v>214</v>
      </c>
      <c r="B197" s="19" t="s">
        <v>29</v>
      </c>
      <c r="C197" s="19">
        <v>2</v>
      </c>
      <c r="D197" s="19" t="s">
        <v>352</v>
      </c>
      <c r="E197" s="19">
        <v>72050</v>
      </c>
      <c r="F197" s="19"/>
      <c r="G197" s="20">
        <f>G198</f>
        <v>570</v>
      </c>
      <c r="H197" s="20">
        <f>H198</f>
        <v>570</v>
      </c>
      <c r="I197" s="20">
        <f>I198</f>
        <v>570</v>
      </c>
    </row>
    <row r="198" spans="1:9" x14ac:dyDescent="0.2">
      <c r="A198" s="28" t="s">
        <v>67</v>
      </c>
      <c r="B198" s="24" t="s">
        <v>29</v>
      </c>
      <c r="C198" s="24">
        <v>2</v>
      </c>
      <c r="D198" s="24" t="s">
        <v>352</v>
      </c>
      <c r="E198" s="24">
        <v>72050</v>
      </c>
      <c r="F198" s="24" t="s">
        <v>68</v>
      </c>
      <c r="G198" s="25">
        <f>' первое чтение вед стр-ра'!G293</f>
        <v>570</v>
      </c>
      <c r="H198" s="25">
        <f>' первое чтение вед стр-ра'!H293</f>
        <v>570</v>
      </c>
      <c r="I198" s="25">
        <f>' первое чтение вед стр-ра'!I293</f>
        <v>570</v>
      </c>
    </row>
    <row r="199" spans="1:9" ht="25.5" x14ac:dyDescent="0.2">
      <c r="A199" s="52" t="s">
        <v>342</v>
      </c>
      <c r="B199" s="19" t="s">
        <v>29</v>
      </c>
      <c r="C199" s="19">
        <v>2</v>
      </c>
      <c r="D199" s="19" t="s">
        <v>352</v>
      </c>
      <c r="E199" s="19" t="s">
        <v>450</v>
      </c>
      <c r="F199" s="19"/>
      <c r="G199" s="20">
        <f>G200</f>
        <v>5</v>
      </c>
      <c r="H199" s="20">
        <f>H200</f>
        <v>0</v>
      </c>
      <c r="I199" s="20">
        <f>I200</f>
        <v>0</v>
      </c>
    </row>
    <row r="200" spans="1:9" x14ac:dyDescent="0.2">
      <c r="A200" s="28" t="s">
        <v>67</v>
      </c>
      <c r="B200" s="24" t="s">
        <v>29</v>
      </c>
      <c r="C200" s="24">
        <v>2</v>
      </c>
      <c r="D200" s="24" t="s">
        <v>352</v>
      </c>
      <c r="E200" s="24" t="s">
        <v>450</v>
      </c>
      <c r="F200" s="24" t="s">
        <v>68</v>
      </c>
      <c r="G200" s="25">
        <f>' первое чтение вед стр-ра'!G309</f>
        <v>5</v>
      </c>
      <c r="H200" s="25">
        <f>' первое чтение вед стр-ра'!H309</f>
        <v>0</v>
      </c>
      <c r="I200" s="25">
        <f>' первое чтение вед стр-ра'!I309</f>
        <v>0</v>
      </c>
    </row>
    <row r="201" spans="1:9" s="71" customFormat="1" ht="25.5" x14ac:dyDescent="0.2">
      <c r="A201" s="94" t="s">
        <v>215</v>
      </c>
      <c r="B201" s="69" t="s">
        <v>29</v>
      </c>
      <c r="C201" s="69">
        <v>2</v>
      </c>
      <c r="D201" s="69" t="s">
        <v>352</v>
      </c>
      <c r="E201" s="69">
        <v>73050</v>
      </c>
      <c r="F201" s="69"/>
      <c r="G201" s="70">
        <f>G203+G202</f>
        <v>2005</v>
      </c>
      <c r="H201" s="70">
        <f>H203+H202</f>
        <v>2005</v>
      </c>
      <c r="I201" s="70">
        <f>I203+I202</f>
        <v>2005</v>
      </c>
    </row>
    <row r="202" spans="1:9" s="71" customFormat="1" ht="25.5" x14ac:dyDescent="0.2">
      <c r="A202" s="72" t="s">
        <v>355</v>
      </c>
      <c r="B202" s="74" t="s">
        <v>29</v>
      </c>
      <c r="C202" s="74">
        <v>2</v>
      </c>
      <c r="D202" s="74" t="s">
        <v>352</v>
      </c>
      <c r="E202" s="74">
        <v>73050</v>
      </c>
      <c r="F202" s="75" t="s">
        <v>66</v>
      </c>
      <c r="G202" s="54">
        <f>' первое чтение вед стр-ра'!G295</f>
        <v>325</v>
      </c>
      <c r="H202" s="54">
        <f>' первое чтение вед стр-ра'!H295</f>
        <v>325</v>
      </c>
      <c r="I202" s="54">
        <f>' первое чтение вед стр-ра'!I295</f>
        <v>325</v>
      </c>
    </row>
    <row r="203" spans="1:9" s="71" customFormat="1" ht="25.5" x14ac:dyDescent="0.2">
      <c r="A203" s="79" t="s">
        <v>119</v>
      </c>
      <c r="B203" s="74" t="s">
        <v>29</v>
      </c>
      <c r="C203" s="74">
        <v>2</v>
      </c>
      <c r="D203" s="74" t="s">
        <v>352</v>
      </c>
      <c r="E203" s="74">
        <v>73050</v>
      </c>
      <c r="F203" s="74" t="s">
        <v>63</v>
      </c>
      <c r="G203" s="54">
        <f>' первое чтение вед стр-ра'!G296</f>
        <v>1680</v>
      </c>
      <c r="H203" s="54">
        <f>' первое чтение вед стр-ра'!H296</f>
        <v>1680</v>
      </c>
      <c r="I203" s="54">
        <f>' первое чтение вед стр-ра'!I296</f>
        <v>1680</v>
      </c>
    </row>
    <row r="204" spans="1:9" ht="63.75" x14ac:dyDescent="0.2">
      <c r="A204" s="18" t="s">
        <v>348</v>
      </c>
      <c r="B204" s="19" t="s">
        <v>29</v>
      </c>
      <c r="C204" s="19">
        <v>2</v>
      </c>
      <c r="D204" s="19" t="s">
        <v>352</v>
      </c>
      <c r="E204" s="19">
        <v>80120</v>
      </c>
      <c r="F204" s="19"/>
      <c r="G204" s="20">
        <f>G205</f>
        <v>326</v>
      </c>
      <c r="H204" s="20">
        <f>H205</f>
        <v>326</v>
      </c>
      <c r="I204" s="20">
        <f>I205</f>
        <v>325.89999999999998</v>
      </c>
    </row>
    <row r="205" spans="1:9" s="71" customFormat="1" x14ac:dyDescent="0.2">
      <c r="A205" s="79" t="s">
        <v>67</v>
      </c>
      <c r="B205" s="74" t="s">
        <v>29</v>
      </c>
      <c r="C205" s="74">
        <v>2</v>
      </c>
      <c r="D205" s="74" t="s">
        <v>352</v>
      </c>
      <c r="E205" s="74">
        <v>80120</v>
      </c>
      <c r="F205" s="74" t="s">
        <v>68</v>
      </c>
      <c r="G205" s="54">
        <f>' первое чтение вед стр-ра'!G298</f>
        <v>326</v>
      </c>
      <c r="H205" s="54">
        <f>' первое чтение вед стр-ра'!H298</f>
        <v>326</v>
      </c>
      <c r="I205" s="54">
        <f>' первое чтение вед стр-ра'!I298</f>
        <v>325.89999999999998</v>
      </c>
    </row>
    <row r="206" spans="1:9" ht="101.25" customHeight="1" x14ac:dyDescent="0.2">
      <c r="A206" s="52" t="s">
        <v>345</v>
      </c>
      <c r="B206" s="19" t="s">
        <v>29</v>
      </c>
      <c r="C206" s="19">
        <v>2</v>
      </c>
      <c r="D206" s="19" t="s">
        <v>352</v>
      </c>
      <c r="E206" s="19">
        <v>80130</v>
      </c>
      <c r="F206" s="19"/>
      <c r="G206" s="20">
        <f>G207</f>
        <v>39680</v>
      </c>
      <c r="H206" s="20">
        <f>H207</f>
        <v>39680</v>
      </c>
      <c r="I206" s="20">
        <f>I207</f>
        <v>39680</v>
      </c>
    </row>
    <row r="207" spans="1:9" x14ac:dyDescent="0.2">
      <c r="A207" s="28" t="s">
        <v>67</v>
      </c>
      <c r="B207" s="24" t="s">
        <v>29</v>
      </c>
      <c r="C207" s="24">
        <v>2</v>
      </c>
      <c r="D207" s="24" t="s">
        <v>352</v>
      </c>
      <c r="E207" s="24">
        <v>80130</v>
      </c>
      <c r="F207" s="24" t="s">
        <v>68</v>
      </c>
      <c r="G207" s="25">
        <f>' первое чтение вед стр-ра'!G311</f>
        <v>39680</v>
      </c>
      <c r="H207" s="25">
        <f>' первое чтение вед стр-ра'!H311</f>
        <v>39680</v>
      </c>
      <c r="I207" s="25">
        <f>' первое чтение вед стр-ра'!I311</f>
        <v>39680</v>
      </c>
    </row>
    <row r="208" spans="1:9" ht="101.25" customHeight="1" x14ac:dyDescent="0.2">
      <c r="A208" s="52" t="s">
        <v>579</v>
      </c>
      <c r="B208" s="19" t="s">
        <v>29</v>
      </c>
      <c r="C208" s="19">
        <v>2</v>
      </c>
      <c r="D208" s="19" t="s">
        <v>352</v>
      </c>
      <c r="E208" s="19" t="s">
        <v>449</v>
      </c>
      <c r="F208" s="19"/>
      <c r="G208" s="20">
        <f>G209</f>
        <v>250</v>
      </c>
      <c r="H208" s="20">
        <f>H209</f>
        <v>250</v>
      </c>
      <c r="I208" s="20">
        <f>I209</f>
        <v>250</v>
      </c>
    </row>
    <row r="209" spans="1:9" x14ac:dyDescent="0.2">
      <c r="A209" s="28" t="s">
        <v>67</v>
      </c>
      <c r="B209" s="24" t="s">
        <v>29</v>
      </c>
      <c r="C209" s="24">
        <v>2</v>
      </c>
      <c r="D209" s="24" t="s">
        <v>352</v>
      </c>
      <c r="E209" s="24" t="s">
        <v>449</v>
      </c>
      <c r="F209" s="24" t="s">
        <v>68</v>
      </c>
      <c r="G209" s="25">
        <f>' первое чтение вед стр-ра'!G313</f>
        <v>250</v>
      </c>
      <c r="H209" s="25">
        <f>' первое чтение вед стр-ра'!H313</f>
        <v>250</v>
      </c>
      <c r="I209" s="25">
        <f>' первое чтение вед стр-ра'!I313</f>
        <v>250</v>
      </c>
    </row>
    <row r="210" spans="1:9" ht="38.25" x14ac:dyDescent="0.2">
      <c r="A210" s="18" t="s">
        <v>330</v>
      </c>
      <c r="B210" s="19" t="s">
        <v>29</v>
      </c>
      <c r="C210" s="19">
        <v>2</v>
      </c>
      <c r="D210" s="19" t="s">
        <v>352</v>
      </c>
      <c r="E210" s="19" t="s">
        <v>448</v>
      </c>
      <c r="F210" s="19"/>
      <c r="G210" s="20">
        <f>G211</f>
        <v>2957.1</v>
      </c>
      <c r="H210" s="20">
        <f>H211</f>
        <v>2957.1</v>
      </c>
      <c r="I210" s="20">
        <f>I211</f>
        <v>2957.1</v>
      </c>
    </row>
    <row r="211" spans="1:9" s="26" customFormat="1" ht="25.5" x14ac:dyDescent="0.2">
      <c r="A211" s="79" t="s">
        <v>119</v>
      </c>
      <c r="B211" s="24" t="s">
        <v>29</v>
      </c>
      <c r="C211" s="24">
        <v>2</v>
      </c>
      <c r="D211" s="24" t="s">
        <v>352</v>
      </c>
      <c r="E211" s="24" t="s">
        <v>448</v>
      </c>
      <c r="F211" s="24" t="s">
        <v>63</v>
      </c>
      <c r="G211" s="25">
        <f>' первое чтение вед стр-ра'!G315</f>
        <v>2957.1</v>
      </c>
      <c r="H211" s="25">
        <f>' первое чтение вед стр-ра'!H315</f>
        <v>2957.1</v>
      </c>
      <c r="I211" s="25">
        <f>' первое чтение вед стр-ра'!I315</f>
        <v>2957.1</v>
      </c>
    </row>
    <row r="212" spans="1:9" ht="38.25" x14ac:dyDescent="0.2">
      <c r="A212" s="18" t="s">
        <v>329</v>
      </c>
      <c r="B212" s="19" t="s">
        <v>29</v>
      </c>
      <c r="C212" s="19">
        <v>2</v>
      </c>
      <c r="D212" s="19" t="s">
        <v>352</v>
      </c>
      <c r="E212" s="19" t="s">
        <v>447</v>
      </c>
      <c r="F212" s="19"/>
      <c r="G212" s="20">
        <f>G214+G213</f>
        <v>1350.3</v>
      </c>
      <c r="H212" s="20">
        <f>H214+H213</f>
        <v>1350.3</v>
      </c>
      <c r="I212" s="20">
        <f>I214+I213</f>
        <v>1350.3</v>
      </c>
    </row>
    <row r="213" spans="1:9" s="26" customFormat="1" ht="25.5" x14ac:dyDescent="0.2">
      <c r="A213" s="79" t="s">
        <v>74</v>
      </c>
      <c r="B213" s="24" t="s">
        <v>29</v>
      </c>
      <c r="C213" s="24">
        <v>2</v>
      </c>
      <c r="D213" s="24" t="s">
        <v>352</v>
      </c>
      <c r="E213" s="24" t="s">
        <v>447</v>
      </c>
      <c r="F213" s="24" t="s">
        <v>66</v>
      </c>
      <c r="G213" s="25">
        <f>' первое чтение вед стр-ра'!G317</f>
        <v>393.2</v>
      </c>
      <c r="H213" s="25">
        <f>' первое чтение вед стр-ра'!H317</f>
        <v>393.2</v>
      </c>
      <c r="I213" s="25">
        <f>' первое чтение вед стр-ра'!I317</f>
        <v>393.2</v>
      </c>
    </row>
    <row r="214" spans="1:9" s="26" customFormat="1" ht="25.5" x14ac:dyDescent="0.2">
      <c r="A214" s="79" t="s">
        <v>119</v>
      </c>
      <c r="B214" s="24" t="s">
        <v>29</v>
      </c>
      <c r="C214" s="24">
        <v>2</v>
      </c>
      <c r="D214" s="24" t="s">
        <v>352</v>
      </c>
      <c r="E214" s="24" t="s">
        <v>447</v>
      </c>
      <c r="F214" s="24" t="s">
        <v>63</v>
      </c>
      <c r="G214" s="25">
        <f>' первое чтение вед стр-ра'!G318</f>
        <v>957.1</v>
      </c>
      <c r="H214" s="25">
        <f>' первое чтение вед стр-ра'!H318</f>
        <v>957.1</v>
      </c>
      <c r="I214" s="25">
        <f>' первое чтение вед стр-ра'!I318</f>
        <v>957.1</v>
      </c>
    </row>
    <row r="215" spans="1:9" s="194" customFormat="1" ht="25.5" x14ac:dyDescent="0.2">
      <c r="A215" s="18" t="s">
        <v>556</v>
      </c>
      <c r="B215" s="19" t="s">
        <v>29</v>
      </c>
      <c r="C215" s="19" t="s">
        <v>390</v>
      </c>
      <c r="D215" s="19" t="s">
        <v>352</v>
      </c>
      <c r="E215" s="19" t="s">
        <v>557</v>
      </c>
      <c r="F215" s="19"/>
      <c r="G215" s="20">
        <f>G217+G216</f>
        <v>32</v>
      </c>
      <c r="H215" s="20">
        <f t="shared" ref="H215:I215" si="28">H217+H216</f>
        <v>0</v>
      </c>
      <c r="I215" s="20">
        <f t="shared" si="28"/>
        <v>0</v>
      </c>
    </row>
    <row r="216" spans="1:9" s="194" customFormat="1" ht="51" x14ac:dyDescent="0.2">
      <c r="A216" s="72" t="s">
        <v>64</v>
      </c>
      <c r="B216" s="24" t="s">
        <v>29</v>
      </c>
      <c r="C216" s="24" t="s">
        <v>390</v>
      </c>
      <c r="D216" s="24" t="s">
        <v>352</v>
      </c>
      <c r="E216" s="24" t="s">
        <v>557</v>
      </c>
      <c r="F216" s="27" t="s">
        <v>65</v>
      </c>
      <c r="G216" s="25">
        <f>' первое чтение вед стр-ра'!G382</f>
        <v>19.33426</v>
      </c>
      <c r="H216" s="25">
        <f>' первое чтение вед стр-ра'!H382</f>
        <v>0</v>
      </c>
      <c r="I216" s="25">
        <f>' первое чтение вед стр-ра'!I382</f>
        <v>0</v>
      </c>
    </row>
    <row r="217" spans="1:9" s="194" customFormat="1" ht="25.5" x14ac:dyDescent="0.2">
      <c r="A217" s="30" t="s">
        <v>355</v>
      </c>
      <c r="B217" s="24" t="s">
        <v>29</v>
      </c>
      <c r="C217" s="24" t="s">
        <v>390</v>
      </c>
      <c r="D217" s="24" t="s">
        <v>352</v>
      </c>
      <c r="E217" s="24" t="s">
        <v>557</v>
      </c>
      <c r="F217" s="27" t="s">
        <v>66</v>
      </c>
      <c r="G217" s="25">
        <f>' первое чтение вед стр-ра'!G383</f>
        <v>12.66574</v>
      </c>
      <c r="H217" s="25">
        <f>' первое чтение вед стр-ра'!H383</f>
        <v>0</v>
      </c>
      <c r="I217" s="25">
        <f>' первое чтение вед стр-ра'!I383</f>
        <v>0</v>
      </c>
    </row>
    <row r="218" spans="1:9" s="71" customFormat="1" x14ac:dyDescent="0.2">
      <c r="A218" s="131" t="s">
        <v>446</v>
      </c>
      <c r="B218" s="130" t="s">
        <v>29</v>
      </c>
      <c r="C218" s="129" t="s">
        <v>386</v>
      </c>
      <c r="D218" s="129"/>
      <c r="E218" s="129"/>
      <c r="F218" s="129"/>
      <c r="G218" s="128">
        <f>SUM(G219,G222,G224,G229)</f>
        <v>76833.2</v>
      </c>
      <c r="H218" s="128">
        <f>SUM(H219,H222,H224,H229)</f>
        <v>71733.7</v>
      </c>
      <c r="I218" s="128">
        <f>SUM(I219,I222,I224,I229)</f>
        <v>70181.099999999991</v>
      </c>
    </row>
    <row r="219" spans="1:9" s="71" customFormat="1" ht="25.5" x14ac:dyDescent="0.2">
      <c r="A219" s="67" t="s">
        <v>285</v>
      </c>
      <c r="B219" s="69" t="s">
        <v>29</v>
      </c>
      <c r="C219" s="69">
        <v>3</v>
      </c>
      <c r="D219" s="69" t="s">
        <v>352</v>
      </c>
      <c r="E219" s="69" t="s">
        <v>445</v>
      </c>
      <c r="F219" s="69"/>
      <c r="G219" s="70">
        <f>G220+G221</f>
        <v>4467.2</v>
      </c>
      <c r="H219" s="70">
        <f>H220+H221</f>
        <v>4407.2</v>
      </c>
      <c r="I219" s="70">
        <f>I220+I221</f>
        <v>4407.2</v>
      </c>
    </row>
    <row r="220" spans="1:9" ht="51" x14ac:dyDescent="0.2">
      <c r="A220" s="30" t="s">
        <v>64</v>
      </c>
      <c r="B220" s="24" t="s">
        <v>29</v>
      </c>
      <c r="C220" s="24">
        <v>3</v>
      </c>
      <c r="D220" s="24" t="s">
        <v>352</v>
      </c>
      <c r="E220" s="24" t="s">
        <v>445</v>
      </c>
      <c r="F220" s="27" t="s">
        <v>65</v>
      </c>
      <c r="G220" s="25">
        <f>' первое чтение вед стр-ра'!G276</f>
        <v>4427.2</v>
      </c>
      <c r="H220" s="25">
        <f>' первое чтение вед стр-ра'!H276</f>
        <v>4407.2</v>
      </c>
      <c r="I220" s="25">
        <f>' первое чтение вед стр-ра'!I276</f>
        <v>4407.2</v>
      </c>
    </row>
    <row r="221" spans="1:9" s="71" customFormat="1" ht="25.5" x14ac:dyDescent="0.2">
      <c r="A221" s="72" t="s">
        <v>355</v>
      </c>
      <c r="B221" s="74" t="s">
        <v>29</v>
      </c>
      <c r="C221" s="74">
        <v>3</v>
      </c>
      <c r="D221" s="74" t="s">
        <v>352</v>
      </c>
      <c r="E221" s="74" t="s">
        <v>445</v>
      </c>
      <c r="F221" s="75" t="s">
        <v>66</v>
      </c>
      <c r="G221" s="25">
        <f>' первое чтение вед стр-ра'!G277</f>
        <v>40</v>
      </c>
      <c r="H221" s="25">
        <f>' первое чтение вед стр-ра'!H277</f>
        <v>0</v>
      </c>
      <c r="I221" s="25">
        <f>' первое чтение вед стр-ра'!I277</f>
        <v>0</v>
      </c>
    </row>
    <row r="222" spans="1:9" s="71" customFormat="1" ht="25.5" x14ac:dyDescent="0.2">
      <c r="A222" s="67" t="s">
        <v>285</v>
      </c>
      <c r="B222" s="69" t="s">
        <v>29</v>
      </c>
      <c r="C222" s="69">
        <v>3</v>
      </c>
      <c r="D222" s="69" t="s">
        <v>352</v>
      </c>
      <c r="E222" s="69" t="s">
        <v>444</v>
      </c>
      <c r="F222" s="69"/>
      <c r="G222" s="70">
        <f>G223</f>
        <v>22764.400000000001</v>
      </c>
      <c r="H222" s="70">
        <f>H223</f>
        <v>21478.7</v>
      </c>
      <c r="I222" s="70">
        <f>I223</f>
        <v>21108.5</v>
      </c>
    </row>
    <row r="223" spans="1:9" ht="25.5" x14ac:dyDescent="0.2">
      <c r="A223" s="28" t="s">
        <v>119</v>
      </c>
      <c r="B223" s="24" t="s">
        <v>29</v>
      </c>
      <c r="C223" s="24">
        <v>3</v>
      </c>
      <c r="D223" s="24" t="s">
        <v>352</v>
      </c>
      <c r="E223" s="24" t="s">
        <v>444</v>
      </c>
      <c r="F223" s="24" t="s">
        <v>63</v>
      </c>
      <c r="G223" s="25">
        <f>' первое чтение вед стр-ра'!G279</f>
        <v>22764.400000000001</v>
      </c>
      <c r="H223" s="25">
        <f>' первое чтение вед стр-ра'!H279</f>
        <v>21478.7</v>
      </c>
      <c r="I223" s="25">
        <f>' первое чтение вед стр-ра'!I279</f>
        <v>21108.5</v>
      </c>
    </row>
    <row r="224" spans="1:9" s="76" customFormat="1" ht="25.5" x14ac:dyDescent="0.2">
      <c r="A224" s="67" t="s">
        <v>285</v>
      </c>
      <c r="B224" s="69" t="s">
        <v>29</v>
      </c>
      <c r="C224" s="69">
        <v>3</v>
      </c>
      <c r="D224" s="69" t="s">
        <v>352</v>
      </c>
      <c r="E224" s="69" t="s">
        <v>443</v>
      </c>
      <c r="F224" s="69"/>
      <c r="G224" s="70">
        <f>G225+G226+G227+G228</f>
        <v>46355.700000000004</v>
      </c>
      <c r="H224" s="70">
        <f>H225+H226+H227+H228</f>
        <v>42601.9</v>
      </c>
      <c r="I224" s="70">
        <f>I225+I226+I227+I228</f>
        <v>41419.5</v>
      </c>
    </row>
    <row r="225" spans="1:9" ht="51" x14ac:dyDescent="0.2">
      <c r="A225" s="30" t="s">
        <v>64</v>
      </c>
      <c r="B225" s="24" t="s">
        <v>29</v>
      </c>
      <c r="C225" s="24">
        <v>3</v>
      </c>
      <c r="D225" s="24" t="s">
        <v>352</v>
      </c>
      <c r="E225" s="24" t="s">
        <v>443</v>
      </c>
      <c r="F225" s="27" t="s">
        <v>65</v>
      </c>
      <c r="G225" s="25">
        <f>' первое чтение вед стр-ра'!G281</f>
        <v>22345.200000000001</v>
      </c>
      <c r="H225" s="25">
        <f>' первое чтение вед стр-ра'!H281</f>
        <v>22342.1</v>
      </c>
      <c r="I225" s="25">
        <f>' первое чтение вед стр-ра'!I281</f>
        <v>22342.1</v>
      </c>
    </row>
    <row r="226" spans="1:9" s="71" customFormat="1" ht="25.5" x14ac:dyDescent="0.2">
      <c r="A226" s="72" t="s">
        <v>355</v>
      </c>
      <c r="B226" s="74" t="s">
        <v>29</v>
      </c>
      <c r="C226" s="74">
        <v>3</v>
      </c>
      <c r="D226" s="74" t="s">
        <v>352</v>
      </c>
      <c r="E226" s="74" t="s">
        <v>443</v>
      </c>
      <c r="F226" s="75" t="s">
        <v>66</v>
      </c>
      <c r="G226" s="25">
        <f>' первое чтение вед стр-ра'!G282</f>
        <v>4455.2</v>
      </c>
      <c r="H226" s="25">
        <f>' первое чтение вед стр-ра'!H282</f>
        <v>2052.9</v>
      </c>
      <c r="I226" s="25">
        <f>' первое чтение вед стр-ра'!I282</f>
        <v>1199.5999999999999</v>
      </c>
    </row>
    <row r="227" spans="1:9" s="71" customFormat="1" ht="25.5" x14ac:dyDescent="0.2">
      <c r="A227" s="79" t="s">
        <v>119</v>
      </c>
      <c r="B227" s="74" t="s">
        <v>29</v>
      </c>
      <c r="C227" s="74">
        <v>3</v>
      </c>
      <c r="D227" s="74" t="s">
        <v>352</v>
      </c>
      <c r="E227" s="74" t="s">
        <v>443</v>
      </c>
      <c r="F227" s="74" t="s">
        <v>63</v>
      </c>
      <c r="G227" s="25">
        <f>' первое чтение вед стр-ра'!G283</f>
        <v>19500.5</v>
      </c>
      <c r="H227" s="25">
        <f>' первое чтение вед стр-ра'!H283</f>
        <v>18206.900000000001</v>
      </c>
      <c r="I227" s="25">
        <f>' первое чтение вед стр-ра'!I283</f>
        <v>17877.8</v>
      </c>
    </row>
    <row r="228" spans="1:9" s="71" customFormat="1" x14ac:dyDescent="0.2">
      <c r="A228" s="79" t="s">
        <v>70</v>
      </c>
      <c r="B228" s="74" t="s">
        <v>29</v>
      </c>
      <c r="C228" s="74">
        <v>3</v>
      </c>
      <c r="D228" s="74" t="s">
        <v>352</v>
      </c>
      <c r="E228" s="74" t="s">
        <v>443</v>
      </c>
      <c r="F228" s="74" t="s">
        <v>71</v>
      </c>
      <c r="G228" s="25">
        <f>' первое чтение вед стр-ра'!G284</f>
        <v>54.8</v>
      </c>
      <c r="H228" s="25">
        <f>' первое чтение вед стр-ра'!H284</f>
        <v>0</v>
      </c>
      <c r="I228" s="25">
        <f>' первое чтение вед стр-ра'!I284</f>
        <v>0</v>
      </c>
    </row>
    <row r="229" spans="1:9" ht="102" x14ac:dyDescent="0.2">
      <c r="A229" s="18" t="s">
        <v>336</v>
      </c>
      <c r="B229" s="5" t="s">
        <v>29</v>
      </c>
      <c r="C229" s="5">
        <v>3</v>
      </c>
      <c r="D229" s="5" t="s">
        <v>352</v>
      </c>
      <c r="E229" s="5">
        <v>72070</v>
      </c>
      <c r="F229" s="19"/>
      <c r="G229" s="20">
        <f>G230+G231</f>
        <v>3245.9</v>
      </c>
      <c r="H229" s="20">
        <f>H230+H231</f>
        <v>3245.9</v>
      </c>
      <c r="I229" s="20">
        <f>I230+I231</f>
        <v>3245.9</v>
      </c>
    </row>
    <row r="230" spans="1:9" ht="51" x14ac:dyDescent="0.2">
      <c r="A230" s="30" t="s">
        <v>64</v>
      </c>
      <c r="B230" s="24" t="s">
        <v>29</v>
      </c>
      <c r="C230" s="24">
        <v>3</v>
      </c>
      <c r="D230" s="24" t="s">
        <v>352</v>
      </c>
      <c r="E230" s="24">
        <v>72070</v>
      </c>
      <c r="F230" s="27" t="s">
        <v>65</v>
      </c>
      <c r="G230" s="25">
        <f>' первое чтение вед стр-ра'!G273</f>
        <v>2869.4</v>
      </c>
      <c r="H230" s="25">
        <f>' первое чтение вед стр-ра'!H273</f>
        <v>2869.4</v>
      </c>
      <c r="I230" s="25">
        <f>' первое чтение вед стр-ра'!I273</f>
        <v>2869.4</v>
      </c>
    </row>
    <row r="231" spans="1:9" ht="25.5" x14ac:dyDescent="0.2">
      <c r="A231" s="30" t="s">
        <v>355</v>
      </c>
      <c r="B231" s="24" t="s">
        <v>29</v>
      </c>
      <c r="C231" s="24">
        <v>3</v>
      </c>
      <c r="D231" s="24" t="s">
        <v>352</v>
      </c>
      <c r="E231" s="24">
        <v>72070</v>
      </c>
      <c r="F231" s="27" t="s">
        <v>66</v>
      </c>
      <c r="G231" s="25">
        <f>' первое чтение вед стр-ра'!G274</f>
        <v>376.5</v>
      </c>
      <c r="H231" s="25">
        <f>' первое чтение вед стр-ра'!H274</f>
        <v>376.5</v>
      </c>
      <c r="I231" s="25">
        <f>' первое чтение вед стр-ра'!I274</f>
        <v>376.5</v>
      </c>
    </row>
    <row r="232" spans="1:9" ht="27.75" customHeight="1" x14ac:dyDescent="0.2">
      <c r="A232" s="138" t="s">
        <v>442</v>
      </c>
      <c r="B232" s="40" t="s">
        <v>48</v>
      </c>
      <c r="C232" s="40"/>
      <c r="D232" s="40"/>
      <c r="E232" s="40"/>
      <c r="F232" s="137"/>
      <c r="G232" s="38">
        <f>SUM(G235,G238,G240,G243,G247)+G233</f>
        <v>106638</v>
      </c>
      <c r="H232" s="38">
        <f t="shared" ref="H232:I232" si="29">SUM(H235,H238,H240,H243,H247)+H233</f>
        <v>101132.5</v>
      </c>
      <c r="I232" s="38">
        <f t="shared" si="29"/>
        <v>99124.3</v>
      </c>
    </row>
    <row r="233" spans="1:9" ht="38.25" x14ac:dyDescent="0.2">
      <c r="A233" s="18" t="s">
        <v>303</v>
      </c>
      <c r="B233" s="19" t="s">
        <v>48</v>
      </c>
      <c r="C233" s="19" t="s">
        <v>353</v>
      </c>
      <c r="D233" s="19" t="s">
        <v>352</v>
      </c>
      <c r="E233" s="19" t="s">
        <v>441</v>
      </c>
      <c r="F233" s="19"/>
      <c r="G233" s="20">
        <f>G234</f>
        <v>4425</v>
      </c>
      <c r="H233" s="20">
        <f>H234</f>
        <v>4425</v>
      </c>
      <c r="I233" s="20">
        <f>I234</f>
        <v>4425</v>
      </c>
    </row>
    <row r="234" spans="1:9" ht="25.5" x14ac:dyDescent="0.2">
      <c r="A234" s="28" t="s">
        <v>119</v>
      </c>
      <c r="B234" s="24" t="s">
        <v>48</v>
      </c>
      <c r="C234" s="24" t="s">
        <v>353</v>
      </c>
      <c r="D234" s="24" t="s">
        <v>352</v>
      </c>
      <c r="E234" s="24" t="s">
        <v>441</v>
      </c>
      <c r="F234" s="24" t="s">
        <v>63</v>
      </c>
      <c r="G234" s="25">
        <f>' первое чтение вед стр-ра'!G357</f>
        <v>4425</v>
      </c>
      <c r="H234" s="25">
        <f>' первое чтение вед стр-ра'!H357</f>
        <v>4425</v>
      </c>
      <c r="I234" s="25">
        <f>' первое чтение вед стр-ра'!I357</f>
        <v>4425</v>
      </c>
    </row>
    <row r="235" spans="1:9" x14ac:dyDescent="0.2">
      <c r="A235" s="18" t="s">
        <v>220</v>
      </c>
      <c r="B235" s="19" t="s">
        <v>48</v>
      </c>
      <c r="C235" s="19">
        <v>0</v>
      </c>
      <c r="D235" s="19" t="s">
        <v>352</v>
      </c>
      <c r="E235" s="19" t="s">
        <v>440</v>
      </c>
      <c r="F235" s="19"/>
      <c r="G235" s="20">
        <f>G237+G236</f>
        <v>57297.4</v>
      </c>
      <c r="H235" s="20">
        <f>H237+H236</f>
        <v>53505</v>
      </c>
      <c r="I235" s="20">
        <f>I237+I236</f>
        <v>51942.3</v>
      </c>
    </row>
    <row r="236" spans="1:9" s="9" customFormat="1" x14ac:dyDescent="0.2">
      <c r="A236" s="28" t="s">
        <v>67</v>
      </c>
      <c r="B236" s="24" t="s">
        <v>48</v>
      </c>
      <c r="C236" s="24">
        <v>0</v>
      </c>
      <c r="D236" s="24" t="s">
        <v>352</v>
      </c>
      <c r="E236" s="24" t="s">
        <v>440</v>
      </c>
      <c r="F236" s="27" t="s">
        <v>68</v>
      </c>
      <c r="G236" s="25">
        <f>' первое чтение вед стр-ра'!G359</f>
        <v>15</v>
      </c>
      <c r="H236" s="25">
        <f>' первое чтение вед стр-ра'!H359</f>
        <v>0</v>
      </c>
      <c r="I236" s="25">
        <f>' первое чтение вед стр-ра'!I359</f>
        <v>0</v>
      </c>
    </row>
    <row r="237" spans="1:9" ht="25.5" x14ac:dyDescent="0.2">
      <c r="A237" s="28" t="s">
        <v>119</v>
      </c>
      <c r="B237" s="24" t="s">
        <v>48</v>
      </c>
      <c r="C237" s="24">
        <v>0</v>
      </c>
      <c r="D237" s="24" t="s">
        <v>352</v>
      </c>
      <c r="E237" s="24" t="s">
        <v>440</v>
      </c>
      <c r="F237" s="24" t="s">
        <v>63</v>
      </c>
      <c r="G237" s="25">
        <f>' первое чтение вед стр-ра'!G360</f>
        <v>57282.400000000001</v>
      </c>
      <c r="H237" s="25">
        <f>' первое чтение вед стр-ра'!H360</f>
        <v>53505</v>
      </c>
      <c r="I237" s="25">
        <f>' первое чтение вед стр-ра'!I360</f>
        <v>51942.3</v>
      </c>
    </row>
    <row r="238" spans="1:9" x14ac:dyDescent="0.2">
      <c r="A238" s="18" t="s">
        <v>222</v>
      </c>
      <c r="B238" s="19" t="s">
        <v>48</v>
      </c>
      <c r="C238" s="19">
        <v>0</v>
      </c>
      <c r="D238" s="19" t="s">
        <v>352</v>
      </c>
      <c r="E238" s="19" t="s">
        <v>439</v>
      </c>
      <c r="F238" s="19"/>
      <c r="G238" s="20">
        <f>G239</f>
        <v>4209.6000000000004</v>
      </c>
      <c r="H238" s="20">
        <f>H239</f>
        <v>4059.4</v>
      </c>
      <c r="I238" s="20">
        <f>I239</f>
        <v>3992.5</v>
      </c>
    </row>
    <row r="239" spans="1:9" ht="25.5" x14ac:dyDescent="0.2">
      <c r="A239" s="28" t="s">
        <v>119</v>
      </c>
      <c r="B239" s="24" t="s">
        <v>48</v>
      </c>
      <c r="C239" s="24">
        <v>0</v>
      </c>
      <c r="D239" s="24" t="s">
        <v>352</v>
      </c>
      <c r="E239" s="24" t="s">
        <v>439</v>
      </c>
      <c r="F239" s="24" t="s">
        <v>63</v>
      </c>
      <c r="G239" s="25">
        <f>' первое чтение вед стр-ра'!G362</f>
        <v>4209.6000000000004</v>
      </c>
      <c r="H239" s="25">
        <f>' первое чтение вед стр-ра'!H362</f>
        <v>4059.4</v>
      </c>
      <c r="I239" s="25">
        <f>' первое чтение вед стр-ра'!I362</f>
        <v>3992.5</v>
      </c>
    </row>
    <row r="240" spans="1:9" x14ac:dyDescent="0.2">
      <c r="A240" s="18" t="s">
        <v>224</v>
      </c>
      <c r="B240" s="19" t="s">
        <v>48</v>
      </c>
      <c r="C240" s="19">
        <v>0</v>
      </c>
      <c r="D240" s="19" t="s">
        <v>352</v>
      </c>
      <c r="E240" s="19" t="s">
        <v>438</v>
      </c>
      <c r="F240" s="19"/>
      <c r="G240" s="20">
        <f>G242+G241</f>
        <v>19200.8</v>
      </c>
      <c r="H240" s="20">
        <f>H242+H241</f>
        <v>18166.8</v>
      </c>
      <c r="I240" s="20">
        <f>I242+I241</f>
        <v>17788.2</v>
      </c>
    </row>
    <row r="241" spans="1:9" x14ac:dyDescent="0.2">
      <c r="A241" s="28" t="s">
        <v>67</v>
      </c>
      <c r="B241" s="24" t="s">
        <v>48</v>
      </c>
      <c r="C241" s="24">
        <v>0</v>
      </c>
      <c r="D241" s="24" t="s">
        <v>352</v>
      </c>
      <c r="E241" s="24" t="s">
        <v>438</v>
      </c>
      <c r="F241" s="27" t="s">
        <v>68</v>
      </c>
      <c r="G241" s="25">
        <f>' первое чтение вед стр-ра'!G364</f>
        <v>15</v>
      </c>
      <c r="H241" s="25">
        <f>' первое чтение вед стр-ра'!H364</f>
        <v>0</v>
      </c>
      <c r="I241" s="25">
        <f>' первое чтение вед стр-ра'!I364</f>
        <v>0</v>
      </c>
    </row>
    <row r="242" spans="1:9" ht="25.5" x14ac:dyDescent="0.2">
      <c r="A242" s="28" t="s">
        <v>119</v>
      </c>
      <c r="B242" s="24" t="s">
        <v>48</v>
      </c>
      <c r="C242" s="24">
        <v>0</v>
      </c>
      <c r="D242" s="24" t="s">
        <v>352</v>
      </c>
      <c r="E242" s="24" t="s">
        <v>438</v>
      </c>
      <c r="F242" s="24" t="s">
        <v>63</v>
      </c>
      <c r="G242" s="25">
        <f>' первое чтение вед стр-ра'!G365</f>
        <v>19185.8</v>
      </c>
      <c r="H242" s="25">
        <f>' первое чтение вед стр-ра'!H365</f>
        <v>18166.8</v>
      </c>
      <c r="I242" s="25">
        <f>' первое чтение вед стр-ра'!I365</f>
        <v>17788.2</v>
      </c>
    </row>
    <row r="243" spans="1:9" s="71" customFormat="1" x14ac:dyDescent="0.2">
      <c r="A243" s="67" t="s">
        <v>286</v>
      </c>
      <c r="B243" s="69" t="s">
        <v>48</v>
      </c>
      <c r="C243" s="69">
        <v>0</v>
      </c>
      <c r="D243" s="69" t="s">
        <v>352</v>
      </c>
      <c r="E243" s="69" t="s">
        <v>437</v>
      </c>
      <c r="F243" s="69"/>
      <c r="G243" s="70">
        <f>G244+G245+G246</f>
        <v>1290.9000000000001</v>
      </c>
      <c r="H243" s="70">
        <f>H244+H245+H246</f>
        <v>1222.5</v>
      </c>
      <c r="I243" s="70">
        <f>I244+I245+I246</f>
        <v>1222.5</v>
      </c>
    </row>
    <row r="244" spans="1:9" s="71" customFormat="1" ht="51" x14ac:dyDescent="0.2">
      <c r="A244" s="72" t="s">
        <v>64</v>
      </c>
      <c r="B244" s="74" t="s">
        <v>48</v>
      </c>
      <c r="C244" s="74">
        <v>0</v>
      </c>
      <c r="D244" s="74" t="s">
        <v>352</v>
      </c>
      <c r="E244" s="74" t="s">
        <v>437</v>
      </c>
      <c r="F244" s="75" t="s">
        <v>65</v>
      </c>
      <c r="G244" s="54">
        <f>' первое чтение вед стр-ра'!G368</f>
        <v>1188.8</v>
      </c>
      <c r="H244" s="54">
        <f>' первое чтение вед стр-ра'!H368</f>
        <v>1186.8</v>
      </c>
      <c r="I244" s="54">
        <f>' первое чтение вед стр-ра'!I368</f>
        <v>1186.8</v>
      </c>
    </row>
    <row r="245" spans="1:9" s="71" customFormat="1" ht="25.5" x14ac:dyDescent="0.2">
      <c r="A245" s="72" t="s">
        <v>355</v>
      </c>
      <c r="B245" s="74" t="s">
        <v>48</v>
      </c>
      <c r="C245" s="74">
        <v>0</v>
      </c>
      <c r="D245" s="74" t="s">
        <v>352</v>
      </c>
      <c r="E245" s="74" t="s">
        <v>437</v>
      </c>
      <c r="F245" s="75" t="s">
        <v>66</v>
      </c>
      <c r="G245" s="54">
        <f>' первое чтение вед стр-ра'!G369</f>
        <v>96.9</v>
      </c>
      <c r="H245" s="54">
        <f>' первое чтение вед стр-ра'!H369</f>
        <v>35.700000000000003</v>
      </c>
      <c r="I245" s="54">
        <f>' первое чтение вед стр-ра'!I369</f>
        <v>35.700000000000003</v>
      </c>
    </row>
    <row r="246" spans="1:9" x14ac:dyDescent="0.2">
      <c r="A246" s="28" t="s">
        <v>70</v>
      </c>
      <c r="B246" s="24" t="s">
        <v>48</v>
      </c>
      <c r="C246" s="24">
        <v>0</v>
      </c>
      <c r="D246" s="24" t="s">
        <v>352</v>
      </c>
      <c r="E246" s="24" t="s">
        <v>437</v>
      </c>
      <c r="F246" s="24" t="s">
        <v>71</v>
      </c>
      <c r="G246" s="54">
        <f>' первое чтение вед стр-ра'!G370</f>
        <v>5.2</v>
      </c>
      <c r="H246" s="54">
        <f>' первое чтение вед стр-ра'!H370</f>
        <v>0</v>
      </c>
      <c r="I246" s="54">
        <f>' первое чтение вед стр-ра'!I370</f>
        <v>0</v>
      </c>
    </row>
    <row r="247" spans="1:9" x14ac:dyDescent="0.2">
      <c r="A247" s="18" t="s">
        <v>286</v>
      </c>
      <c r="B247" s="19" t="s">
        <v>48</v>
      </c>
      <c r="C247" s="19">
        <v>0</v>
      </c>
      <c r="D247" s="19" t="s">
        <v>352</v>
      </c>
      <c r="E247" s="19" t="s">
        <v>436</v>
      </c>
      <c r="F247" s="19"/>
      <c r="G247" s="20">
        <f>G248+G249</f>
        <v>20214.3</v>
      </c>
      <c r="H247" s="20">
        <f t="shared" ref="H247:I247" si="30">H248+H249</f>
        <v>19753.8</v>
      </c>
      <c r="I247" s="20">
        <f t="shared" si="30"/>
        <v>19753.8</v>
      </c>
    </row>
    <row r="248" spans="1:9" ht="51" x14ac:dyDescent="0.2">
      <c r="A248" s="30" t="s">
        <v>64</v>
      </c>
      <c r="B248" s="24" t="s">
        <v>48</v>
      </c>
      <c r="C248" s="24">
        <v>0</v>
      </c>
      <c r="D248" s="24" t="s">
        <v>352</v>
      </c>
      <c r="E248" s="19" t="s">
        <v>436</v>
      </c>
      <c r="F248" s="27" t="s">
        <v>65</v>
      </c>
      <c r="G248" s="25">
        <f>' первое чтение вед стр-ра'!G372</f>
        <v>19694.7</v>
      </c>
      <c r="H248" s="25">
        <f>' первое чтение вед стр-ра'!H372</f>
        <v>19692.7</v>
      </c>
      <c r="I248" s="25">
        <f>' первое чтение вед стр-ра'!I372</f>
        <v>19692.7</v>
      </c>
    </row>
    <row r="249" spans="1:9" s="71" customFormat="1" ht="25.5" x14ac:dyDescent="0.2">
      <c r="A249" s="72" t="s">
        <v>355</v>
      </c>
      <c r="B249" s="74" t="s">
        <v>48</v>
      </c>
      <c r="C249" s="74">
        <v>0</v>
      </c>
      <c r="D249" s="74" t="s">
        <v>352</v>
      </c>
      <c r="E249" s="69" t="s">
        <v>436</v>
      </c>
      <c r="F249" s="75" t="s">
        <v>66</v>
      </c>
      <c r="G249" s="25">
        <f>' первое чтение вед стр-ра'!G373</f>
        <v>519.6</v>
      </c>
      <c r="H249" s="25">
        <f>' первое чтение вед стр-ра'!H373</f>
        <v>61.1</v>
      </c>
      <c r="I249" s="25">
        <f>' первое чтение вед стр-ра'!I373</f>
        <v>61.1</v>
      </c>
    </row>
    <row r="250" spans="1:9" ht="25.5" x14ac:dyDescent="0.2">
      <c r="A250" s="39" t="s">
        <v>435</v>
      </c>
      <c r="B250" s="40" t="s">
        <v>41</v>
      </c>
      <c r="C250" s="40"/>
      <c r="D250" s="40"/>
      <c r="E250" s="40"/>
      <c r="F250" s="40"/>
      <c r="G250" s="38">
        <f>SUM(G251,G263,G267,G272,G282,G310)</f>
        <v>360732.2</v>
      </c>
      <c r="H250" s="38">
        <f t="shared" ref="H250:I250" si="31">SUM(H251,H263,H267,H272,H282,H310)</f>
        <v>356418</v>
      </c>
      <c r="I250" s="38">
        <f t="shared" si="31"/>
        <v>360658</v>
      </c>
    </row>
    <row r="251" spans="1:9" x14ac:dyDescent="0.2">
      <c r="A251" s="127" t="s">
        <v>434</v>
      </c>
      <c r="B251" s="104" t="s">
        <v>41</v>
      </c>
      <c r="C251" s="126" t="s">
        <v>395</v>
      </c>
      <c r="D251" s="126"/>
      <c r="E251" s="126"/>
      <c r="F251" s="126"/>
      <c r="G251" s="125">
        <f>SUM(G252,G254,G257,G259)+G261</f>
        <v>5547.8</v>
      </c>
      <c r="H251" s="125">
        <f t="shared" ref="H251:I251" si="32">SUM(H252,H254,H257,H259)+H261</f>
        <v>0</v>
      </c>
      <c r="I251" s="125">
        <f t="shared" si="32"/>
        <v>0</v>
      </c>
    </row>
    <row r="252" spans="1:9" x14ac:dyDescent="0.2">
      <c r="A252" s="18" t="s">
        <v>235</v>
      </c>
      <c r="B252" s="19" t="s">
        <v>41</v>
      </c>
      <c r="C252" s="19">
        <v>1</v>
      </c>
      <c r="D252" s="19" t="s">
        <v>352</v>
      </c>
      <c r="E252" s="19" t="s">
        <v>433</v>
      </c>
      <c r="F252" s="19"/>
      <c r="G252" s="20">
        <f>G253</f>
        <v>2241.6</v>
      </c>
      <c r="H252" s="20">
        <f t="shared" ref="H252:I252" si="33">H253</f>
        <v>0</v>
      </c>
      <c r="I252" s="20">
        <f t="shared" si="33"/>
        <v>0</v>
      </c>
    </row>
    <row r="253" spans="1:9" ht="25.5" x14ac:dyDescent="0.2">
      <c r="A253" s="30" t="s">
        <v>355</v>
      </c>
      <c r="B253" s="24" t="s">
        <v>41</v>
      </c>
      <c r="C253" s="24">
        <v>1</v>
      </c>
      <c r="D253" s="24" t="s">
        <v>352</v>
      </c>
      <c r="E253" s="24" t="s">
        <v>433</v>
      </c>
      <c r="F253" s="24" t="s">
        <v>66</v>
      </c>
      <c r="G253" s="25">
        <f>' первое чтение вед стр-ра'!G430</f>
        <v>2241.6</v>
      </c>
      <c r="H253" s="25">
        <f>' первое чтение вед стр-ра'!H430</f>
        <v>0</v>
      </c>
      <c r="I253" s="25">
        <f>' первое чтение вед стр-ра'!I430</f>
        <v>0</v>
      </c>
    </row>
    <row r="254" spans="1:9" x14ac:dyDescent="0.2">
      <c r="A254" s="18" t="s">
        <v>237</v>
      </c>
      <c r="B254" s="19" t="s">
        <v>41</v>
      </c>
      <c r="C254" s="19">
        <v>1</v>
      </c>
      <c r="D254" s="19" t="s">
        <v>352</v>
      </c>
      <c r="E254" s="19" t="s">
        <v>432</v>
      </c>
      <c r="F254" s="19"/>
      <c r="G254" s="20">
        <f>G255+G256</f>
        <v>1686.9</v>
      </c>
      <c r="H254" s="20">
        <f t="shared" ref="H254:I254" si="34">H255+H256</f>
        <v>0</v>
      </c>
      <c r="I254" s="20">
        <f t="shared" si="34"/>
        <v>0</v>
      </c>
    </row>
    <row r="255" spans="1:9" ht="25.5" x14ac:dyDescent="0.2">
      <c r="A255" s="28" t="s">
        <v>119</v>
      </c>
      <c r="B255" s="24" t="s">
        <v>41</v>
      </c>
      <c r="C255" s="24">
        <v>1</v>
      </c>
      <c r="D255" s="24" t="s">
        <v>352</v>
      </c>
      <c r="E255" s="24" t="s">
        <v>432</v>
      </c>
      <c r="F255" s="24" t="s">
        <v>63</v>
      </c>
      <c r="G255" s="25">
        <f>' первое чтение вед стр-ра'!G432</f>
        <v>968.2</v>
      </c>
      <c r="H255" s="25">
        <f>' первое чтение вед стр-ра'!H432</f>
        <v>0</v>
      </c>
      <c r="I255" s="25">
        <f>' первое чтение вед стр-ра'!I432</f>
        <v>0</v>
      </c>
    </row>
    <row r="256" spans="1:9" x14ac:dyDescent="0.2">
      <c r="A256" s="28" t="s">
        <v>67</v>
      </c>
      <c r="B256" s="24" t="s">
        <v>41</v>
      </c>
      <c r="C256" s="24">
        <v>1</v>
      </c>
      <c r="D256" s="24" t="s">
        <v>352</v>
      </c>
      <c r="E256" s="24" t="s">
        <v>431</v>
      </c>
      <c r="F256" s="24" t="s">
        <v>68</v>
      </c>
      <c r="G256" s="25">
        <f>' первое чтение вед стр-ра'!G508</f>
        <v>718.7</v>
      </c>
      <c r="H256" s="25">
        <f>' первое чтение вед стр-ра'!H508</f>
        <v>0</v>
      </c>
      <c r="I256" s="25">
        <f>' первое чтение вед стр-ра'!I508</f>
        <v>0</v>
      </c>
    </row>
    <row r="257" spans="1:9" ht="25.5" x14ac:dyDescent="0.2">
      <c r="A257" s="18" t="s">
        <v>271</v>
      </c>
      <c r="B257" s="19" t="s">
        <v>41</v>
      </c>
      <c r="C257" s="19">
        <v>1</v>
      </c>
      <c r="D257" s="19" t="s">
        <v>352</v>
      </c>
      <c r="E257" s="19" t="s">
        <v>430</v>
      </c>
      <c r="F257" s="19"/>
      <c r="G257" s="20">
        <f>G258</f>
        <v>1573.8</v>
      </c>
      <c r="H257" s="20">
        <f>H258</f>
        <v>0</v>
      </c>
      <c r="I257" s="20">
        <f>I258</f>
        <v>0</v>
      </c>
    </row>
    <row r="258" spans="1:9" x14ac:dyDescent="0.2">
      <c r="A258" s="28" t="s">
        <v>67</v>
      </c>
      <c r="B258" s="24" t="s">
        <v>41</v>
      </c>
      <c r="C258" s="24">
        <v>1</v>
      </c>
      <c r="D258" s="24" t="s">
        <v>352</v>
      </c>
      <c r="E258" s="24" t="s">
        <v>430</v>
      </c>
      <c r="F258" s="24" t="s">
        <v>68</v>
      </c>
      <c r="G258" s="25">
        <f>' первое чтение вед стр-ра'!G510</f>
        <v>1573.8</v>
      </c>
      <c r="H258" s="25">
        <f>' первое чтение вед стр-ра'!H510</f>
        <v>0</v>
      </c>
      <c r="I258" s="25">
        <f>' первое чтение вед стр-ра'!I510</f>
        <v>0</v>
      </c>
    </row>
    <row r="259" spans="1:9" ht="63.75" x14ac:dyDescent="0.2">
      <c r="A259" s="53" t="s">
        <v>273</v>
      </c>
      <c r="B259" s="19" t="s">
        <v>41</v>
      </c>
      <c r="C259" s="19">
        <v>1</v>
      </c>
      <c r="D259" s="19" t="s">
        <v>352</v>
      </c>
      <c r="E259" s="19" t="s">
        <v>429</v>
      </c>
      <c r="F259" s="19"/>
      <c r="G259" s="20">
        <f>G260</f>
        <v>35.5</v>
      </c>
      <c r="H259" s="20">
        <f>H260</f>
        <v>0</v>
      </c>
      <c r="I259" s="20">
        <f>I260</f>
        <v>0</v>
      </c>
    </row>
    <row r="260" spans="1:9" x14ac:dyDescent="0.2">
      <c r="A260" s="28" t="s">
        <v>67</v>
      </c>
      <c r="B260" s="24" t="s">
        <v>41</v>
      </c>
      <c r="C260" s="24">
        <v>1</v>
      </c>
      <c r="D260" s="24" t="s">
        <v>352</v>
      </c>
      <c r="E260" s="24" t="s">
        <v>429</v>
      </c>
      <c r="F260" s="24" t="s">
        <v>68</v>
      </c>
      <c r="G260" s="25">
        <f>' первое чтение вед стр-ра'!G512</f>
        <v>35.5</v>
      </c>
      <c r="H260" s="25">
        <f>' первое чтение вед стр-ра'!H512</f>
        <v>0</v>
      </c>
      <c r="I260" s="25">
        <f>' первое чтение вед стр-ра'!I512</f>
        <v>0</v>
      </c>
    </row>
    <row r="261" spans="1:9" ht="25.5" x14ac:dyDescent="0.2">
      <c r="A261" s="67" t="s">
        <v>323</v>
      </c>
      <c r="B261" s="19" t="s">
        <v>41</v>
      </c>
      <c r="C261" s="19">
        <v>1</v>
      </c>
      <c r="D261" s="19" t="s">
        <v>352</v>
      </c>
      <c r="E261" s="19" t="s">
        <v>428</v>
      </c>
      <c r="F261" s="19"/>
      <c r="G261" s="20">
        <f>G262</f>
        <v>10</v>
      </c>
      <c r="H261" s="20">
        <f>H262</f>
        <v>0</v>
      </c>
      <c r="I261" s="20">
        <f>I262</f>
        <v>0</v>
      </c>
    </row>
    <row r="262" spans="1:9" ht="25.5" x14ac:dyDescent="0.2">
      <c r="A262" s="30" t="s">
        <v>355</v>
      </c>
      <c r="B262" s="24" t="s">
        <v>41</v>
      </c>
      <c r="C262" s="24">
        <v>1</v>
      </c>
      <c r="D262" s="24" t="s">
        <v>352</v>
      </c>
      <c r="E262" s="24" t="s">
        <v>428</v>
      </c>
      <c r="F262" s="24" t="s">
        <v>66</v>
      </c>
      <c r="G262" s="25">
        <f>' первое чтение вед стр-ра'!G434</f>
        <v>10</v>
      </c>
      <c r="H262" s="25">
        <f>' первое чтение вед стр-ра'!H434</f>
        <v>0</v>
      </c>
      <c r="I262" s="25">
        <f>' первое чтение вед стр-ра'!I434</f>
        <v>0</v>
      </c>
    </row>
    <row r="263" spans="1:9" s="71" customFormat="1" ht="51" x14ac:dyDescent="0.2">
      <c r="A263" s="131" t="s">
        <v>427</v>
      </c>
      <c r="B263" s="130" t="s">
        <v>41</v>
      </c>
      <c r="C263" s="129" t="s">
        <v>390</v>
      </c>
      <c r="D263" s="129"/>
      <c r="E263" s="129"/>
      <c r="F263" s="129"/>
      <c r="G263" s="128">
        <f>G264</f>
        <v>9482</v>
      </c>
      <c r="H263" s="128">
        <f>H264</f>
        <v>9482</v>
      </c>
      <c r="I263" s="128">
        <f>I264</f>
        <v>9482</v>
      </c>
    </row>
    <row r="264" spans="1:9" s="71" customFormat="1" ht="76.5" x14ac:dyDescent="0.2">
      <c r="A264" s="67" t="s">
        <v>227</v>
      </c>
      <c r="B264" s="69" t="s">
        <v>41</v>
      </c>
      <c r="C264" s="69">
        <v>2</v>
      </c>
      <c r="D264" s="69" t="s">
        <v>352</v>
      </c>
      <c r="E264" s="69" t="s">
        <v>426</v>
      </c>
      <c r="F264" s="69"/>
      <c r="G264" s="70">
        <f>G266+G265</f>
        <v>9482</v>
      </c>
      <c r="H264" s="70">
        <f>H266+H265</f>
        <v>9482</v>
      </c>
      <c r="I264" s="70">
        <f>I266+I265</f>
        <v>9482</v>
      </c>
    </row>
    <row r="265" spans="1:9" s="71" customFormat="1" ht="25.5" x14ac:dyDescent="0.2">
      <c r="A265" s="72" t="s">
        <v>355</v>
      </c>
      <c r="B265" s="74" t="s">
        <v>41</v>
      </c>
      <c r="C265" s="74">
        <v>2</v>
      </c>
      <c r="D265" s="74" t="s">
        <v>352</v>
      </c>
      <c r="E265" s="74" t="s">
        <v>426</v>
      </c>
      <c r="F265" s="75" t="s">
        <v>66</v>
      </c>
      <c r="G265" s="54">
        <f>' первое чтение вед стр-ра'!G389</f>
        <v>47.2</v>
      </c>
      <c r="H265" s="54">
        <f>' первое чтение вед стр-ра'!H389</f>
        <v>47.2</v>
      </c>
      <c r="I265" s="54">
        <f>' первое чтение вед стр-ра'!I389</f>
        <v>47.2</v>
      </c>
    </row>
    <row r="266" spans="1:9" s="71" customFormat="1" x14ac:dyDescent="0.2">
      <c r="A266" s="79" t="s">
        <v>67</v>
      </c>
      <c r="B266" s="74" t="s">
        <v>41</v>
      </c>
      <c r="C266" s="74">
        <v>2</v>
      </c>
      <c r="D266" s="74" t="s">
        <v>352</v>
      </c>
      <c r="E266" s="74" t="s">
        <v>426</v>
      </c>
      <c r="F266" s="74" t="s">
        <v>68</v>
      </c>
      <c r="G266" s="54">
        <f>' первое чтение вед стр-ра'!G390</f>
        <v>9434.7999999999993</v>
      </c>
      <c r="H266" s="54">
        <f>' первое чтение вед стр-ра'!H390</f>
        <v>9434.7999999999993</v>
      </c>
      <c r="I266" s="54">
        <f>' первое чтение вед стр-ра'!I390</f>
        <v>9434.7999999999993</v>
      </c>
    </row>
    <row r="267" spans="1:9" s="71" customFormat="1" ht="38.25" x14ac:dyDescent="0.2">
      <c r="A267" s="131" t="s">
        <v>425</v>
      </c>
      <c r="B267" s="130" t="s">
        <v>41</v>
      </c>
      <c r="C267" s="129" t="s">
        <v>383</v>
      </c>
      <c r="D267" s="129"/>
      <c r="E267" s="129"/>
      <c r="F267" s="129"/>
      <c r="G267" s="128">
        <f>G268</f>
        <v>28219.9</v>
      </c>
      <c r="H267" s="128">
        <f>H268</f>
        <v>28219.9</v>
      </c>
      <c r="I267" s="128">
        <f>I268</f>
        <v>28219.9</v>
      </c>
    </row>
    <row r="268" spans="1:9" ht="25.5" x14ac:dyDescent="0.2">
      <c r="A268" s="18" t="s">
        <v>239</v>
      </c>
      <c r="B268" s="19" t="s">
        <v>41</v>
      </c>
      <c r="C268" s="19">
        <v>4</v>
      </c>
      <c r="D268" s="19" t="s">
        <v>352</v>
      </c>
      <c r="E268" s="19">
        <v>70280</v>
      </c>
      <c r="F268" s="19"/>
      <c r="G268" s="20">
        <f>G269+G270+G271</f>
        <v>28219.9</v>
      </c>
      <c r="H268" s="20">
        <f>H269+H270+H271</f>
        <v>28219.9</v>
      </c>
      <c r="I268" s="20">
        <f>I269+I270+I271</f>
        <v>28219.9</v>
      </c>
    </row>
    <row r="269" spans="1:9" ht="51" x14ac:dyDescent="0.2">
      <c r="A269" s="30" t="s">
        <v>64</v>
      </c>
      <c r="B269" s="24" t="s">
        <v>41</v>
      </c>
      <c r="C269" s="24">
        <v>4</v>
      </c>
      <c r="D269" s="24" t="s">
        <v>352</v>
      </c>
      <c r="E269" s="24">
        <v>70280</v>
      </c>
      <c r="F269" s="27" t="s">
        <v>65</v>
      </c>
      <c r="G269" s="25">
        <f>' первое чтение вед стр-ра'!G436</f>
        <v>26948.9</v>
      </c>
      <c r="H269" s="25">
        <f>' первое чтение вед стр-ра'!H436</f>
        <v>26948.9</v>
      </c>
      <c r="I269" s="25">
        <f>' первое чтение вед стр-ра'!I436</f>
        <v>26948.9</v>
      </c>
    </row>
    <row r="270" spans="1:9" ht="25.5" x14ac:dyDescent="0.2">
      <c r="A270" s="30" t="s">
        <v>355</v>
      </c>
      <c r="B270" s="24" t="s">
        <v>41</v>
      </c>
      <c r="C270" s="24">
        <v>4</v>
      </c>
      <c r="D270" s="24" t="s">
        <v>352</v>
      </c>
      <c r="E270" s="24">
        <v>70280</v>
      </c>
      <c r="F270" s="27" t="s">
        <v>66</v>
      </c>
      <c r="G270" s="25">
        <f>' первое чтение вед стр-ра'!G437</f>
        <v>1263.4000000000001</v>
      </c>
      <c r="H270" s="25">
        <f>' первое чтение вед стр-ра'!H437</f>
        <v>1263.4000000000001</v>
      </c>
      <c r="I270" s="25">
        <f>' первое чтение вед стр-ра'!I437</f>
        <v>1263.4000000000001</v>
      </c>
    </row>
    <row r="271" spans="1:9" s="71" customFormat="1" x14ac:dyDescent="0.2">
      <c r="A271" s="79" t="s">
        <v>70</v>
      </c>
      <c r="B271" s="74" t="s">
        <v>41</v>
      </c>
      <c r="C271" s="74">
        <v>4</v>
      </c>
      <c r="D271" s="74" t="s">
        <v>352</v>
      </c>
      <c r="E271" s="74">
        <v>70280</v>
      </c>
      <c r="F271" s="74" t="s">
        <v>71</v>
      </c>
      <c r="G271" s="25">
        <f>' первое чтение вед стр-ра'!G438</f>
        <v>7.6</v>
      </c>
      <c r="H271" s="25">
        <f>' первое чтение вед стр-ра'!H438</f>
        <v>7.6</v>
      </c>
      <c r="I271" s="25">
        <f>' первое чтение вед стр-ра'!I438</f>
        <v>7.6</v>
      </c>
    </row>
    <row r="272" spans="1:9" s="71" customFormat="1" ht="25.5" x14ac:dyDescent="0.2">
      <c r="A272" s="131" t="s">
        <v>424</v>
      </c>
      <c r="B272" s="130" t="s">
        <v>41</v>
      </c>
      <c r="C272" s="129" t="s">
        <v>380</v>
      </c>
      <c r="D272" s="129"/>
      <c r="E272" s="129"/>
      <c r="F272" s="129"/>
      <c r="G272" s="128">
        <f>SUM(G273,G275)+G279</f>
        <v>180771.7</v>
      </c>
      <c r="H272" s="128">
        <f t="shared" ref="H272:I272" si="35">SUM(H273,H275)+H279</f>
        <v>180727</v>
      </c>
      <c r="I272" s="128">
        <f t="shared" si="35"/>
        <v>180727</v>
      </c>
    </row>
    <row r="273" spans="1:9" s="71" customFormat="1" ht="51" x14ac:dyDescent="0.2">
      <c r="A273" s="67" t="s">
        <v>229</v>
      </c>
      <c r="B273" s="69" t="s">
        <v>41</v>
      </c>
      <c r="C273" s="69">
        <v>5</v>
      </c>
      <c r="D273" s="69" t="s">
        <v>352</v>
      </c>
      <c r="E273" s="69">
        <v>70160</v>
      </c>
      <c r="F273" s="69"/>
      <c r="G273" s="70">
        <f>G274</f>
        <v>130196.4</v>
      </c>
      <c r="H273" s="70">
        <f>H274</f>
        <v>130196.4</v>
      </c>
      <c r="I273" s="70">
        <f>I274</f>
        <v>130196.4</v>
      </c>
    </row>
    <row r="274" spans="1:9" s="71" customFormat="1" ht="25.5" x14ac:dyDescent="0.2">
      <c r="A274" s="79" t="s">
        <v>119</v>
      </c>
      <c r="B274" s="74" t="s">
        <v>41</v>
      </c>
      <c r="C274" s="74">
        <v>5</v>
      </c>
      <c r="D274" s="74" t="s">
        <v>352</v>
      </c>
      <c r="E274" s="74">
        <v>70160</v>
      </c>
      <c r="F274" s="74" t="s">
        <v>63</v>
      </c>
      <c r="G274" s="54">
        <f>' первое чтение вед стр-ра'!G393</f>
        <v>130196.4</v>
      </c>
      <c r="H274" s="54">
        <f>' первое чтение вед стр-ра'!H393</f>
        <v>130196.4</v>
      </c>
      <c r="I274" s="54">
        <f>' первое чтение вед стр-ра'!I393</f>
        <v>130196.4</v>
      </c>
    </row>
    <row r="275" spans="1:9" s="71" customFormat="1" ht="63.75" x14ac:dyDescent="0.2">
      <c r="A275" s="67" t="s">
        <v>230</v>
      </c>
      <c r="B275" s="69" t="s">
        <v>41</v>
      </c>
      <c r="C275" s="69">
        <v>5</v>
      </c>
      <c r="D275" s="69" t="s">
        <v>352</v>
      </c>
      <c r="E275" s="69">
        <v>70170</v>
      </c>
      <c r="F275" s="69"/>
      <c r="G275" s="70">
        <f>G276+G278+G277</f>
        <v>50530.600000000006</v>
      </c>
      <c r="H275" s="70">
        <f>H276+H278+H277</f>
        <v>50530.600000000006</v>
      </c>
      <c r="I275" s="70">
        <f>I276+I278+I277</f>
        <v>50530.600000000006</v>
      </c>
    </row>
    <row r="276" spans="1:9" s="71" customFormat="1" ht="51" x14ac:dyDescent="0.2">
      <c r="A276" s="72" t="s">
        <v>64</v>
      </c>
      <c r="B276" s="74" t="s">
        <v>41</v>
      </c>
      <c r="C276" s="74">
        <v>5</v>
      </c>
      <c r="D276" s="74" t="s">
        <v>352</v>
      </c>
      <c r="E276" s="74">
        <v>70170</v>
      </c>
      <c r="F276" s="75" t="s">
        <v>65</v>
      </c>
      <c r="G276" s="54">
        <f>' первое чтение вед стр-ра'!G395</f>
        <v>44230.3</v>
      </c>
      <c r="H276" s="54">
        <f>' первое чтение вед стр-ра'!H395</f>
        <v>44230.3</v>
      </c>
      <c r="I276" s="54">
        <f>' первое чтение вед стр-ра'!I395</f>
        <v>44230.3</v>
      </c>
    </row>
    <row r="277" spans="1:9" s="71" customFormat="1" ht="25.5" x14ac:dyDescent="0.2">
      <c r="A277" s="72" t="s">
        <v>355</v>
      </c>
      <c r="B277" s="74" t="s">
        <v>41</v>
      </c>
      <c r="C277" s="74">
        <v>5</v>
      </c>
      <c r="D277" s="74" t="s">
        <v>352</v>
      </c>
      <c r="E277" s="74">
        <v>70170</v>
      </c>
      <c r="F277" s="75" t="s">
        <v>66</v>
      </c>
      <c r="G277" s="54">
        <f>' первое чтение вед стр-ра'!G396</f>
        <v>6005.3</v>
      </c>
      <c r="H277" s="54">
        <f>' первое чтение вед стр-ра'!H396</f>
        <v>6005.3</v>
      </c>
      <c r="I277" s="54">
        <f>' первое чтение вед стр-ра'!I396</f>
        <v>6005.3</v>
      </c>
    </row>
    <row r="278" spans="1:9" s="71" customFormat="1" x14ac:dyDescent="0.2">
      <c r="A278" s="79" t="s">
        <v>70</v>
      </c>
      <c r="B278" s="74" t="s">
        <v>41</v>
      </c>
      <c r="C278" s="74">
        <v>5</v>
      </c>
      <c r="D278" s="74" t="s">
        <v>352</v>
      </c>
      <c r="E278" s="74">
        <v>70170</v>
      </c>
      <c r="F278" s="74" t="s">
        <v>71</v>
      </c>
      <c r="G278" s="54">
        <f>' первое чтение вед стр-ра'!G397</f>
        <v>295</v>
      </c>
      <c r="H278" s="54">
        <f>' первое чтение вед стр-ра'!H397</f>
        <v>295</v>
      </c>
      <c r="I278" s="54">
        <f>' первое чтение вед стр-ра'!I397</f>
        <v>295</v>
      </c>
    </row>
    <row r="279" spans="1:9" s="71" customFormat="1" ht="25.5" x14ac:dyDescent="0.2">
      <c r="A279" s="79" t="s">
        <v>231</v>
      </c>
      <c r="B279" s="69" t="s">
        <v>41</v>
      </c>
      <c r="C279" s="69">
        <v>5</v>
      </c>
      <c r="D279" s="69" t="s">
        <v>352</v>
      </c>
      <c r="E279" s="69" t="s">
        <v>554</v>
      </c>
      <c r="F279" s="74"/>
      <c r="G279" s="54">
        <f>G281+G280</f>
        <v>44.7</v>
      </c>
      <c r="H279" s="54">
        <f t="shared" ref="H279:I279" si="36">H281+H280</f>
        <v>0</v>
      </c>
      <c r="I279" s="54">
        <f t="shared" si="36"/>
        <v>0</v>
      </c>
    </row>
    <row r="280" spans="1:9" s="71" customFormat="1" ht="51" x14ac:dyDescent="0.2">
      <c r="A280" s="72" t="s">
        <v>64</v>
      </c>
      <c r="B280" s="69" t="s">
        <v>41</v>
      </c>
      <c r="C280" s="69">
        <v>5</v>
      </c>
      <c r="D280" s="69" t="s">
        <v>352</v>
      </c>
      <c r="E280" s="69" t="s">
        <v>554</v>
      </c>
      <c r="F280" s="74" t="s">
        <v>65</v>
      </c>
      <c r="G280" s="54">
        <f>' первое чтение вед стр-ра'!G399</f>
        <v>20.399999999999999</v>
      </c>
      <c r="H280" s="54">
        <f>' первое чтение вед стр-ра'!H399</f>
        <v>0</v>
      </c>
      <c r="I280" s="54">
        <f>' первое чтение вед стр-ра'!I399</f>
        <v>0</v>
      </c>
    </row>
    <row r="281" spans="1:9" s="71" customFormat="1" ht="25.5" x14ac:dyDescent="0.2">
      <c r="A281" s="72" t="s">
        <v>355</v>
      </c>
      <c r="B281" s="69" t="s">
        <v>41</v>
      </c>
      <c r="C281" s="69">
        <v>5</v>
      </c>
      <c r="D281" s="69" t="s">
        <v>352</v>
      </c>
      <c r="E281" s="69" t="s">
        <v>554</v>
      </c>
      <c r="F281" s="74" t="s">
        <v>66</v>
      </c>
      <c r="G281" s="54">
        <f>' первое чтение вед стр-ра'!G400</f>
        <v>24.3</v>
      </c>
      <c r="H281" s="54">
        <f>' первое чтение вед стр-ра'!H400</f>
        <v>0</v>
      </c>
      <c r="I281" s="54">
        <f>' первое чтение вед стр-ра'!I400</f>
        <v>0</v>
      </c>
    </row>
    <row r="282" spans="1:9" s="71" customFormat="1" ht="25.5" x14ac:dyDescent="0.2">
      <c r="A282" s="131" t="s">
        <v>423</v>
      </c>
      <c r="B282" s="130" t="s">
        <v>41</v>
      </c>
      <c r="C282" s="129" t="s">
        <v>376</v>
      </c>
      <c r="D282" s="129"/>
      <c r="E282" s="129"/>
      <c r="F282" s="129"/>
      <c r="G282" s="128">
        <f>SUM(G289,G291,G293,G295,G299,G301,G303,G306)+G297+G283</f>
        <v>134288.1</v>
      </c>
      <c r="H282" s="128">
        <f t="shared" ref="H282:I282" si="37">SUM(H289,H291,H293,H295,H299,H301,H303,H306)+H297+H283</f>
        <v>137989.1</v>
      </c>
      <c r="I282" s="128">
        <f t="shared" si="37"/>
        <v>142229.1</v>
      </c>
    </row>
    <row r="283" spans="1:9" s="71" customFormat="1" ht="25.5" x14ac:dyDescent="0.2">
      <c r="A283" s="67" t="s">
        <v>540</v>
      </c>
      <c r="B283" s="69" t="s">
        <v>41</v>
      </c>
      <c r="C283" s="69" t="s">
        <v>376</v>
      </c>
      <c r="D283" s="69" t="s">
        <v>421</v>
      </c>
      <c r="E283" s="69"/>
      <c r="F283" s="69"/>
      <c r="G283" s="70">
        <f>SUM(G284)+G286</f>
        <v>80167</v>
      </c>
      <c r="H283" s="70">
        <f t="shared" ref="H283:I283" si="38">SUM(H284)+H286</f>
        <v>82365</v>
      </c>
      <c r="I283" s="70">
        <f t="shared" si="38"/>
        <v>84626</v>
      </c>
    </row>
    <row r="284" spans="1:9" s="71" customFormat="1" ht="25.5" x14ac:dyDescent="0.2">
      <c r="A284" s="67" t="s">
        <v>337</v>
      </c>
      <c r="B284" s="69" t="s">
        <v>41</v>
      </c>
      <c r="C284" s="69">
        <v>6</v>
      </c>
      <c r="D284" s="69" t="s">
        <v>421</v>
      </c>
      <c r="E284" s="69" t="s">
        <v>422</v>
      </c>
      <c r="F284" s="69"/>
      <c r="G284" s="70">
        <f>G285</f>
        <v>73264</v>
      </c>
      <c r="H284" s="70">
        <f t="shared" ref="H284:I284" si="39">H285</f>
        <v>75462</v>
      </c>
      <c r="I284" s="70">
        <f t="shared" si="39"/>
        <v>77723</v>
      </c>
    </row>
    <row r="285" spans="1:9" s="71" customFormat="1" x14ac:dyDescent="0.2">
      <c r="A285" s="79" t="s">
        <v>67</v>
      </c>
      <c r="B285" s="74" t="s">
        <v>41</v>
      </c>
      <c r="C285" s="74">
        <v>6</v>
      </c>
      <c r="D285" s="74" t="s">
        <v>421</v>
      </c>
      <c r="E285" s="74" t="s">
        <v>422</v>
      </c>
      <c r="F285" s="74" t="s">
        <v>68</v>
      </c>
      <c r="G285" s="54">
        <f>' первое чтение вед стр-ра'!G423</f>
        <v>73264</v>
      </c>
      <c r="H285" s="54">
        <f>' первое чтение вед стр-ра'!H423</f>
        <v>75462</v>
      </c>
      <c r="I285" s="54">
        <f>' первое чтение вед стр-ра'!I423</f>
        <v>77723</v>
      </c>
    </row>
    <row r="286" spans="1:9" ht="51" x14ac:dyDescent="0.2">
      <c r="A286" s="18" t="s">
        <v>216</v>
      </c>
      <c r="B286" s="19" t="s">
        <v>41</v>
      </c>
      <c r="C286" s="19">
        <v>6</v>
      </c>
      <c r="D286" s="19" t="s">
        <v>421</v>
      </c>
      <c r="E286" s="19">
        <v>70050</v>
      </c>
      <c r="F286" s="19"/>
      <c r="G286" s="20">
        <f>G287+G288</f>
        <v>6903</v>
      </c>
      <c r="H286" s="20">
        <f t="shared" ref="H286:I286" si="40">H287+H288</f>
        <v>6903</v>
      </c>
      <c r="I286" s="20">
        <f t="shared" si="40"/>
        <v>6903</v>
      </c>
    </row>
    <row r="287" spans="1:9" x14ac:dyDescent="0.2">
      <c r="A287" s="28" t="s">
        <v>67</v>
      </c>
      <c r="B287" s="24" t="s">
        <v>41</v>
      </c>
      <c r="C287" s="24">
        <v>6</v>
      </c>
      <c r="D287" s="24" t="s">
        <v>421</v>
      </c>
      <c r="E287" s="24">
        <v>70050</v>
      </c>
      <c r="F287" s="24" t="s">
        <v>68</v>
      </c>
      <c r="G287" s="25">
        <f>' первое чтение вед стр-ра'!G405</f>
        <v>42.5</v>
      </c>
      <c r="H287" s="25">
        <f>' первое чтение вед стр-ра'!H405</f>
        <v>42.5</v>
      </c>
      <c r="I287" s="25">
        <f>' первое чтение вед стр-ра'!I405</f>
        <v>42.5</v>
      </c>
    </row>
    <row r="288" spans="1:9" ht="25.5" x14ac:dyDescent="0.2">
      <c r="A288" s="28" t="s">
        <v>119</v>
      </c>
      <c r="B288" s="24" t="s">
        <v>41</v>
      </c>
      <c r="C288" s="24">
        <v>6</v>
      </c>
      <c r="D288" s="24" t="s">
        <v>421</v>
      </c>
      <c r="E288" s="24">
        <v>70050</v>
      </c>
      <c r="F288" s="24" t="s">
        <v>63</v>
      </c>
      <c r="G288" s="25">
        <f>' первое чтение вед стр-ра'!G300</f>
        <v>6860.5</v>
      </c>
      <c r="H288" s="25">
        <f>' первое чтение вед стр-ра'!H300</f>
        <v>6860.5</v>
      </c>
      <c r="I288" s="25">
        <f>' первое чтение вед стр-ра'!I300</f>
        <v>6860.5</v>
      </c>
    </row>
    <row r="289" spans="1:9" ht="76.5" x14ac:dyDescent="0.2">
      <c r="A289" s="18" t="s">
        <v>233</v>
      </c>
      <c r="B289" s="19" t="s">
        <v>41</v>
      </c>
      <c r="C289" s="19">
        <v>6</v>
      </c>
      <c r="D289" s="19" t="s">
        <v>352</v>
      </c>
      <c r="E289" s="19">
        <v>52700</v>
      </c>
      <c r="F289" s="19"/>
      <c r="G289" s="20">
        <f>G290</f>
        <v>615</v>
      </c>
      <c r="H289" s="20">
        <f>H290</f>
        <v>634</v>
      </c>
      <c r="I289" s="20">
        <f>I290</f>
        <v>659</v>
      </c>
    </row>
    <row r="290" spans="1:9" s="71" customFormat="1" x14ac:dyDescent="0.2">
      <c r="A290" s="79" t="s">
        <v>67</v>
      </c>
      <c r="B290" s="74" t="s">
        <v>41</v>
      </c>
      <c r="C290" s="74">
        <v>6</v>
      </c>
      <c r="D290" s="74" t="s">
        <v>352</v>
      </c>
      <c r="E290" s="74">
        <v>52700</v>
      </c>
      <c r="F290" s="74" t="s">
        <v>68</v>
      </c>
      <c r="G290" s="54">
        <f>' первое чтение вед стр-ра'!G425</f>
        <v>615</v>
      </c>
      <c r="H290" s="54">
        <f>' первое чтение вед стр-ра'!H425</f>
        <v>634</v>
      </c>
      <c r="I290" s="54">
        <f>' первое чтение вед стр-ра'!I425</f>
        <v>659</v>
      </c>
    </row>
    <row r="291" spans="1:9" ht="89.25" x14ac:dyDescent="0.2">
      <c r="A291" s="18" t="s">
        <v>234</v>
      </c>
      <c r="B291" s="19" t="s">
        <v>41</v>
      </c>
      <c r="C291" s="19">
        <v>6</v>
      </c>
      <c r="D291" s="19" t="s">
        <v>352</v>
      </c>
      <c r="E291" s="19">
        <v>53800</v>
      </c>
      <c r="F291" s="19"/>
      <c r="G291" s="20">
        <f>G292</f>
        <v>48414</v>
      </c>
      <c r="H291" s="20">
        <f t="shared" ref="H291:I291" si="41">H292</f>
        <v>49898</v>
      </c>
      <c r="I291" s="20">
        <f t="shared" si="41"/>
        <v>51852</v>
      </c>
    </row>
    <row r="292" spans="1:9" s="71" customFormat="1" x14ac:dyDescent="0.2">
      <c r="A292" s="79" t="s">
        <v>67</v>
      </c>
      <c r="B292" s="69" t="s">
        <v>41</v>
      </c>
      <c r="C292" s="69">
        <v>6</v>
      </c>
      <c r="D292" s="69" t="s">
        <v>352</v>
      </c>
      <c r="E292" s="69">
        <v>53800</v>
      </c>
      <c r="F292" s="74" t="s">
        <v>68</v>
      </c>
      <c r="G292" s="25">
        <f>' первое чтение вед стр-ра'!G427</f>
        <v>48414</v>
      </c>
      <c r="H292" s="25">
        <f>' первое чтение вед стр-ра'!H427</f>
        <v>49898</v>
      </c>
      <c r="I292" s="25">
        <f>' первое чтение вед стр-ра'!I427</f>
        <v>51852</v>
      </c>
    </row>
    <row r="293" spans="1:9" ht="63.75" x14ac:dyDescent="0.2">
      <c r="A293" s="18" t="s">
        <v>150</v>
      </c>
      <c r="B293" s="19" t="s">
        <v>41</v>
      </c>
      <c r="C293" s="19">
        <v>6</v>
      </c>
      <c r="D293" s="19" t="s">
        <v>352</v>
      </c>
      <c r="E293" s="19">
        <v>70010</v>
      </c>
      <c r="F293" s="19"/>
      <c r="G293" s="20">
        <f>G294</f>
        <v>2070</v>
      </c>
      <c r="H293" s="20">
        <f t="shared" ref="H293:I293" si="42">H294</f>
        <v>2070</v>
      </c>
      <c r="I293" s="20">
        <f t="shared" si="42"/>
        <v>2070</v>
      </c>
    </row>
    <row r="294" spans="1:9" x14ac:dyDescent="0.2">
      <c r="A294" s="28" t="s">
        <v>67</v>
      </c>
      <c r="B294" s="24" t="s">
        <v>41</v>
      </c>
      <c r="C294" s="24">
        <v>6</v>
      </c>
      <c r="D294" s="24" t="s">
        <v>352</v>
      </c>
      <c r="E294" s="24">
        <v>70010</v>
      </c>
      <c r="F294" s="24" t="s">
        <v>68</v>
      </c>
      <c r="G294" s="25">
        <f>' первое чтение вед стр-ра'!G407</f>
        <v>2070</v>
      </c>
      <c r="H294" s="25">
        <f>' первое чтение вед стр-ра'!H407</f>
        <v>2070</v>
      </c>
      <c r="I294" s="25">
        <f>' первое чтение вед стр-ра'!I407</f>
        <v>2070</v>
      </c>
    </row>
    <row r="295" spans="1:9" ht="127.5" x14ac:dyDescent="0.2">
      <c r="A295" s="18" t="s">
        <v>276</v>
      </c>
      <c r="B295" s="19" t="s">
        <v>41</v>
      </c>
      <c r="C295" s="19">
        <v>6</v>
      </c>
      <c r="D295" s="19" t="s">
        <v>352</v>
      </c>
      <c r="E295" s="19">
        <v>70020</v>
      </c>
      <c r="F295" s="19"/>
      <c r="G295" s="20">
        <f>G296</f>
        <v>36</v>
      </c>
      <c r="H295" s="20">
        <f t="shared" ref="H295:I295" si="43">H296</f>
        <v>36</v>
      </c>
      <c r="I295" s="20">
        <f t="shared" si="43"/>
        <v>36</v>
      </c>
    </row>
    <row r="296" spans="1:9" s="71" customFormat="1" x14ac:dyDescent="0.2">
      <c r="A296" s="79" t="s">
        <v>67</v>
      </c>
      <c r="B296" s="74" t="s">
        <v>41</v>
      </c>
      <c r="C296" s="74">
        <v>6</v>
      </c>
      <c r="D296" s="74" t="s">
        <v>352</v>
      </c>
      <c r="E296" s="74">
        <v>70020</v>
      </c>
      <c r="F296" s="74" t="s">
        <v>68</v>
      </c>
      <c r="G296" s="25">
        <f>' первое чтение вед стр-ра'!G409</f>
        <v>36</v>
      </c>
      <c r="H296" s="25">
        <f>' первое чтение вед стр-ра'!H409</f>
        <v>36</v>
      </c>
      <c r="I296" s="25">
        <f>' первое чтение вед стр-ра'!I409</f>
        <v>36</v>
      </c>
    </row>
    <row r="297" spans="1:9" ht="63" customHeight="1" x14ac:dyDescent="0.2">
      <c r="A297" s="18" t="s">
        <v>347</v>
      </c>
      <c r="B297" s="19" t="s">
        <v>41</v>
      </c>
      <c r="C297" s="19">
        <v>6</v>
      </c>
      <c r="D297" s="19" t="s">
        <v>352</v>
      </c>
      <c r="E297" s="19">
        <v>70030</v>
      </c>
      <c r="F297" s="19"/>
      <c r="G297" s="54">
        <f>+G298</f>
        <v>260</v>
      </c>
      <c r="H297" s="54">
        <f t="shared" ref="H297:I297" si="44">+H298</f>
        <v>260</v>
      </c>
      <c r="I297" s="54">
        <f t="shared" si="44"/>
        <v>260</v>
      </c>
    </row>
    <row r="298" spans="1:9" s="71" customFormat="1" x14ac:dyDescent="0.2">
      <c r="A298" s="79" t="s">
        <v>67</v>
      </c>
      <c r="B298" s="74" t="s">
        <v>41</v>
      </c>
      <c r="C298" s="74">
        <v>6</v>
      </c>
      <c r="D298" s="74" t="s">
        <v>352</v>
      </c>
      <c r="E298" s="74">
        <v>70030</v>
      </c>
      <c r="F298" s="74" t="s">
        <v>68</v>
      </c>
      <c r="G298" s="25">
        <f>' первое чтение вед стр-ра'!G411</f>
        <v>260</v>
      </c>
      <c r="H298" s="25">
        <f>' первое чтение вед стр-ра'!H411</f>
        <v>260</v>
      </c>
      <c r="I298" s="25">
        <f>' первое чтение вед стр-ра'!I411</f>
        <v>260</v>
      </c>
    </row>
    <row r="299" spans="1:9" ht="51" x14ac:dyDescent="0.2">
      <c r="A299" s="18" t="s">
        <v>151</v>
      </c>
      <c r="B299" s="19" t="s">
        <v>41</v>
      </c>
      <c r="C299" s="19">
        <v>6</v>
      </c>
      <c r="D299" s="19" t="s">
        <v>352</v>
      </c>
      <c r="E299" s="19">
        <v>70060</v>
      </c>
      <c r="F299" s="19"/>
      <c r="G299" s="20">
        <f>G300</f>
        <v>29.1</v>
      </c>
      <c r="H299" s="20">
        <f t="shared" ref="H299:I299" si="45">H300</f>
        <v>29.1</v>
      </c>
      <c r="I299" s="20">
        <f t="shared" si="45"/>
        <v>29.1</v>
      </c>
    </row>
    <row r="300" spans="1:9" x14ac:dyDescent="0.2">
      <c r="A300" s="28" t="s">
        <v>67</v>
      </c>
      <c r="B300" s="24" t="s">
        <v>41</v>
      </c>
      <c r="C300" s="24">
        <v>6</v>
      </c>
      <c r="D300" s="24" t="s">
        <v>352</v>
      </c>
      <c r="E300" s="24">
        <v>70060</v>
      </c>
      <c r="F300" s="24" t="s">
        <v>68</v>
      </c>
      <c r="G300" s="25">
        <f>' первое чтение вед стр-ра'!G413</f>
        <v>29.1</v>
      </c>
      <c r="H300" s="25">
        <f>' первое чтение вед стр-ра'!H413</f>
        <v>29.1</v>
      </c>
      <c r="I300" s="25">
        <f>' первое чтение вед стр-ра'!I413</f>
        <v>29.1</v>
      </c>
    </row>
    <row r="301" spans="1:9" ht="63" customHeight="1" x14ac:dyDescent="0.2">
      <c r="A301" s="18" t="s">
        <v>232</v>
      </c>
      <c r="B301" s="19" t="s">
        <v>41</v>
      </c>
      <c r="C301" s="19">
        <v>6</v>
      </c>
      <c r="D301" s="19" t="s">
        <v>352</v>
      </c>
      <c r="E301" s="19">
        <v>70190</v>
      </c>
      <c r="F301" s="19"/>
      <c r="G301" s="20">
        <f>G302</f>
        <v>10</v>
      </c>
      <c r="H301" s="20">
        <f>H302</f>
        <v>10</v>
      </c>
      <c r="I301" s="20">
        <f>I302</f>
        <v>10</v>
      </c>
    </row>
    <row r="302" spans="1:9" s="71" customFormat="1" ht="51" x14ac:dyDescent="0.2">
      <c r="A302" s="72" t="s">
        <v>64</v>
      </c>
      <c r="B302" s="74" t="s">
        <v>41</v>
      </c>
      <c r="C302" s="74">
        <v>6</v>
      </c>
      <c r="D302" s="74" t="s">
        <v>352</v>
      </c>
      <c r="E302" s="74">
        <v>70190</v>
      </c>
      <c r="F302" s="74" t="s">
        <v>65</v>
      </c>
      <c r="G302" s="54">
        <f>' первое чтение вед стр-ра'!G402</f>
        <v>10</v>
      </c>
      <c r="H302" s="54">
        <f>' первое чтение вед стр-ра'!H402</f>
        <v>10</v>
      </c>
      <c r="I302" s="54">
        <f>' первое чтение вед стр-ра'!I402</f>
        <v>10</v>
      </c>
    </row>
    <row r="303" spans="1:9" ht="63.75" x14ac:dyDescent="0.2">
      <c r="A303" s="18" t="s">
        <v>279</v>
      </c>
      <c r="B303" s="19" t="s">
        <v>41</v>
      </c>
      <c r="C303" s="19">
        <v>6</v>
      </c>
      <c r="D303" s="19" t="s">
        <v>352</v>
      </c>
      <c r="E303" s="19">
        <v>80080</v>
      </c>
      <c r="F303" s="19"/>
      <c r="G303" s="20">
        <f>G305+G304</f>
        <v>1216</v>
      </c>
      <c r="H303" s="20">
        <f>H305+H304</f>
        <v>1216</v>
      </c>
      <c r="I303" s="20">
        <f>I305+I304</f>
        <v>1216</v>
      </c>
    </row>
    <row r="304" spans="1:9" ht="25.5" x14ac:dyDescent="0.2">
      <c r="A304" s="30" t="s">
        <v>355</v>
      </c>
      <c r="B304" s="24" t="s">
        <v>41</v>
      </c>
      <c r="C304" s="24">
        <v>6</v>
      </c>
      <c r="D304" s="24" t="s">
        <v>352</v>
      </c>
      <c r="E304" s="24">
        <v>80080</v>
      </c>
      <c r="F304" s="27" t="s">
        <v>66</v>
      </c>
      <c r="G304" s="25">
        <f>' первое чтение вед стр-ра'!G415</f>
        <v>6</v>
      </c>
      <c r="H304" s="25">
        <f>' первое чтение вед стр-ра'!H415</f>
        <v>6</v>
      </c>
      <c r="I304" s="25">
        <f>' первое чтение вед стр-ра'!I415</f>
        <v>6</v>
      </c>
    </row>
    <row r="305" spans="1:9" x14ac:dyDescent="0.2">
      <c r="A305" s="28" t="s">
        <v>67</v>
      </c>
      <c r="B305" s="24" t="s">
        <v>41</v>
      </c>
      <c r="C305" s="24">
        <v>6</v>
      </c>
      <c r="D305" s="24" t="s">
        <v>352</v>
      </c>
      <c r="E305" s="24">
        <v>80080</v>
      </c>
      <c r="F305" s="24" t="s">
        <v>68</v>
      </c>
      <c r="G305" s="25">
        <f>' первое чтение вед стр-ра'!G416</f>
        <v>1210</v>
      </c>
      <c r="H305" s="25">
        <f>' первое чтение вед стр-ра'!H416</f>
        <v>1210</v>
      </c>
      <c r="I305" s="25">
        <f>' первое чтение вед стр-ра'!I416</f>
        <v>1210</v>
      </c>
    </row>
    <row r="306" spans="1:9" s="71" customFormat="1" ht="63.75" x14ac:dyDescent="0.2">
      <c r="A306" s="67" t="s">
        <v>344</v>
      </c>
      <c r="B306" s="69" t="s">
        <v>41</v>
      </c>
      <c r="C306" s="69">
        <v>6</v>
      </c>
      <c r="D306" s="69" t="s">
        <v>352</v>
      </c>
      <c r="E306" s="69">
        <v>80110</v>
      </c>
      <c r="F306" s="69"/>
      <c r="G306" s="70">
        <f>G307+G309+G308</f>
        <v>1471</v>
      </c>
      <c r="H306" s="70">
        <f>H307+H309+H308</f>
        <v>1471</v>
      </c>
      <c r="I306" s="70">
        <f>I307+I309+I308</f>
        <v>1471</v>
      </c>
    </row>
    <row r="307" spans="1:9" s="71" customFormat="1" ht="25.5" x14ac:dyDescent="0.2">
      <c r="A307" s="72" t="s">
        <v>355</v>
      </c>
      <c r="B307" s="74" t="s">
        <v>41</v>
      </c>
      <c r="C307" s="74">
        <v>6</v>
      </c>
      <c r="D307" s="74" t="s">
        <v>352</v>
      </c>
      <c r="E307" s="74">
        <v>80110</v>
      </c>
      <c r="F307" s="75" t="s">
        <v>66</v>
      </c>
      <c r="G307" s="54">
        <f>' первое чтение вед стр-ра'!G418</f>
        <v>25</v>
      </c>
      <c r="H307" s="54">
        <f>' первое чтение вед стр-ра'!H418</f>
        <v>25</v>
      </c>
      <c r="I307" s="54">
        <f>' первое чтение вед стр-ра'!I418</f>
        <v>25</v>
      </c>
    </row>
    <row r="308" spans="1:9" s="71" customFormat="1" x14ac:dyDescent="0.2">
      <c r="A308" s="79" t="s">
        <v>67</v>
      </c>
      <c r="B308" s="74" t="s">
        <v>41</v>
      </c>
      <c r="C308" s="74">
        <v>6</v>
      </c>
      <c r="D308" s="74" t="s">
        <v>352</v>
      </c>
      <c r="E308" s="74">
        <v>80110</v>
      </c>
      <c r="F308" s="74" t="s">
        <v>68</v>
      </c>
      <c r="G308" s="54">
        <f>' первое чтение вед стр-ра'!G419</f>
        <v>1276</v>
      </c>
      <c r="H308" s="54">
        <f>' первое чтение вед стр-ра'!H419</f>
        <v>1276</v>
      </c>
      <c r="I308" s="54">
        <f>' первое чтение вед стр-ра'!I419</f>
        <v>1276</v>
      </c>
    </row>
    <row r="309" spans="1:9" s="71" customFormat="1" x14ac:dyDescent="0.2">
      <c r="A309" s="79" t="s">
        <v>70</v>
      </c>
      <c r="B309" s="74" t="s">
        <v>41</v>
      </c>
      <c r="C309" s="74">
        <v>6</v>
      </c>
      <c r="D309" s="74" t="s">
        <v>352</v>
      </c>
      <c r="E309" s="74">
        <v>80110</v>
      </c>
      <c r="F309" s="74" t="s">
        <v>71</v>
      </c>
      <c r="G309" s="54">
        <f>' первое чтение вед стр-ра'!G420</f>
        <v>170</v>
      </c>
      <c r="H309" s="54">
        <f>' первое чтение вед стр-ра'!H420</f>
        <v>170</v>
      </c>
      <c r="I309" s="54">
        <f>' первое чтение вед стр-ра'!I420</f>
        <v>170</v>
      </c>
    </row>
    <row r="310" spans="1:9" s="71" customFormat="1" x14ac:dyDescent="0.2">
      <c r="A310" s="131" t="s">
        <v>420</v>
      </c>
      <c r="B310" s="130" t="s">
        <v>41</v>
      </c>
      <c r="C310" s="129" t="s">
        <v>418</v>
      </c>
      <c r="D310" s="129"/>
      <c r="E310" s="129"/>
      <c r="F310" s="129"/>
      <c r="G310" s="128">
        <f>SUM(G311)+G315</f>
        <v>2422.6999999999998</v>
      </c>
      <c r="H310" s="128">
        <f>SUM(H311)+H315</f>
        <v>0</v>
      </c>
      <c r="I310" s="128">
        <f>SUM(I311)+I315</f>
        <v>0</v>
      </c>
    </row>
    <row r="311" spans="1:9" x14ac:dyDescent="0.2">
      <c r="A311" s="18" t="s">
        <v>147</v>
      </c>
      <c r="B311" s="19" t="s">
        <v>41</v>
      </c>
      <c r="C311" s="19" t="s">
        <v>418</v>
      </c>
      <c r="D311" s="19" t="s">
        <v>352</v>
      </c>
      <c r="E311" s="19" t="s">
        <v>419</v>
      </c>
      <c r="F311" s="19"/>
      <c r="G311" s="20">
        <f>G312+G313+G314</f>
        <v>2392.6999999999998</v>
      </c>
      <c r="H311" s="20">
        <f t="shared" ref="H311:I311" si="46">H312+H313+H314</f>
        <v>0</v>
      </c>
      <c r="I311" s="20">
        <f t="shared" si="46"/>
        <v>0</v>
      </c>
    </row>
    <row r="312" spans="1:9" ht="25.5" x14ac:dyDescent="0.2">
      <c r="A312" s="30" t="s">
        <v>355</v>
      </c>
      <c r="B312" s="24" t="s">
        <v>41</v>
      </c>
      <c r="C312" s="24" t="s">
        <v>418</v>
      </c>
      <c r="D312" s="24" t="s">
        <v>352</v>
      </c>
      <c r="E312" s="24" t="s">
        <v>419</v>
      </c>
      <c r="F312" s="27" t="s">
        <v>66</v>
      </c>
      <c r="G312" s="20">
        <f>' первое чтение вед стр-ра'!G440</f>
        <v>3</v>
      </c>
      <c r="H312" s="20">
        <f>' первое чтение вед стр-ра'!H440</f>
        <v>0</v>
      </c>
      <c r="I312" s="20">
        <f>' первое чтение вед стр-ра'!I440</f>
        <v>0</v>
      </c>
    </row>
    <row r="313" spans="1:9" s="71" customFormat="1" x14ac:dyDescent="0.2">
      <c r="A313" s="79" t="s">
        <v>67</v>
      </c>
      <c r="B313" s="74" t="s">
        <v>41</v>
      </c>
      <c r="C313" s="74" t="s">
        <v>418</v>
      </c>
      <c r="D313" s="74" t="s">
        <v>352</v>
      </c>
      <c r="E313" s="74" t="s">
        <v>419</v>
      </c>
      <c r="F313" s="75" t="s">
        <v>68</v>
      </c>
      <c r="G313" s="20">
        <f>' первое чтение вед стр-ра'!G441</f>
        <v>689.7</v>
      </c>
      <c r="H313" s="20">
        <f>' первое чтение вед стр-ра'!H441</f>
        <v>0</v>
      </c>
      <c r="I313" s="20">
        <f>' первое чтение вед стр-ра'!I441</f>
        <v>0</v>
      </c>
    </row>
    <row r="314" spans="1:9" s="71" customFormat="1" ht="25.5" x14ac:dyDescent="0.2">
      <c r="A314" s="28" t="s">
        <v>80</v>
      </c>
      <c r="B314" s="74" t="s">
        <v>41</v>
      </c>
      <c r="C314" s="74" t="s">
        <v>418</v>
      </c>
      <c r="D314" s="74" t="s">
        <v>352</v>
      </c>
      <c r="E314" s="74" t="s">
        <v>419</v>
      </c>
      <c r="F314" s="75" t="s">
        <v>69</v>
      </c>
      <c r="G314" s="20">
        <f>' первое чтение вед стр-ра'!G442</f>
        <v>1700</v>
      </c>
      <c r="H314" s="20"/>
      <c r="I314" s="20"/>
    </row>
    <row r="315" spans="1:9" x14ac:dyDescent="0.2">
      <c r="A315" s="67" t="s">
        <v>334</v>
      </c>
      <c r="B315" s="19" t="s">
        <v>41</v>
      </c>
      <c r="C315" s="19" t="s">
        <v>418</v>
      </c>
      <c r="D315" s="19" t="s">
        <v>352</v>
      </c>
      <c r="E315" s="19" t="s">
        <v>417</v>
      </c>
      <c r="F315" s="19"/>
      <c r="G315" s="20">
        <f>G316</f>
        <v>30</v>
      </c>
      <c r="H315" s="20">
        <f>H316</f>
        <v>0</v>
      </c>
      <c r="I315" s="20">
        <f>I316</f>
        <v>0</v>
      </c>
    </row>
    <row r="316" spans="1:9" ht="25.5" x14ac:dyDescent="0.2">
      <c r="A316" s="30" t="s">
        <v>355</v>
      </c>
      <c r="B316" s="24" t="s">
        <v>41</v>
      </c>
      <c r="C316" s="24" t="s">
        <v>418</v>
      </c>
      <c r="D316" s="24" t="s">
        <v>352</v>
      </c>
      <c r="E316" s="24" t="s">
        <v>417</v>
      </c>
      <c r="F316" s="27" t="s">
        <v>66</v>
      </c>
      <c r="G316" s="20">
        <f>' первое чтение вед стр-ра'!G444</f>
        <v>30</v>
      </c>
      <c r="H316" s="20">
        <f>' первое чтение вед стр-ра'!H444</f>
        <v>0</v>
      </c>
      <c r="I316" s="20">
        <f>' первое чтение вед стр-ра'!I444</f>
        <v>0</v>
      </c>
    </row>
    <row r="317" spans="1:9" ht="38.25" x14ac:dyDescent="0.2">
      <c r="A317" s="39" t="s">
        <v>416</v>
      </c>
      <c r="B317" s="40" t="s">
        <v>25</v>
      </c>
      <c r="C317" s="40"/>
      <c r="D317" s="40"/>
      <c r="E317" s="40"/>
      <c r="F317" s="40"/>
      <c r="G317" s="38">
        <f>SUM(G318,G320,G325,G330)+G328+G323+G332</f>
        <v>83937.700000000012</v>
      </c>
      <c r="H317" s="38">
        <f t="shared" ref="H317:I317" si="47">SUM(H318,H320,H325,H330)+H328+H323+H332</f>
        <v>78833.3</v>
      </c>
      <c r="I317" s="38">
        <f t="shared" si="47"/>
        <v>77878.400000000009</v>
      </c>
    </row>
    <row r="318" spans="1:9" s="71" customFormat="1" ht="25.5" x14ac:dyDescent="0.2">
      <c r="A318" s="67" t="s">
        <v>159</v>
      </c>
      <c r="B318" s="69" t="s">
        <v>25</v>
      </c>
      <c r="C318" s="69">
        <v>0</v>
      </c>
      <c r="D318" s="69" t="s">
        <v>352</v>
      </c>
      <c r="E318" s="69" t="s">
        <v>415</v>
      </c>
      <c r="F318" s="69"/>
      <c r="G318" s="70">
        <f>G319</f>
        <v>15625.1</v>
      </c>
      <c r="H318" s="70">
        <f>H319</f>
        <v>14556.2</v>
      </c>
      <c r="I318" s="70">
        <f>I319</f>
        <v>14078.7</v>
      </c>
    </row>
    <row r="319" spans="1:9" s="71" customFormat="1" ht="25.5" x14ac:dyDescent="0.2">
      <c r="A319" s="79" t="s">
        <v>119</v>
      </c>
      <c r="B319" s="74" t="s">
        <v>25</v>
      </c>
      <c r="C319" s="74">
        <v>0</v>
      </c>
      <c r="D319" s="74" t="s">
        <v>352</v>
      </c>
      <c r="E319" s="74" t="s">
        <v>415</v>
      </c>
      <c r="F319" s="74" t="s">
        <v>63</v>
      </c>
      <c r="G319" s="54">
        <f>' первое чтение вед стр-ра'!G125</f>
        <v>15625.1</v>
      </c>
      <c r="H319" s="54">
        <f>' первое чтение вед стр-ра'!H125</f>
        <v>14556.2</v>
      </c>
      <c r="I319" s="54">
        <f>' первое чтение вед стр-ра'!I125</f>
        <v>14078.7</v>
      </c>
    </row>
    <row r="320" spans="1:9" s="9" customFormat="1" ht="25.5" x14ac:dyDescent="0.2">
      <c r="A320" s="18" t="s">
        <v>159</v>
      </c>
      <c r="B320" s="19" t="s">
        <v>25</v>
      </c>
      <c r="C320" s="19">
        <v>0</v>
      </c>
      <c r="D320" s="19" t="s">
        <v>352</v>
      </c>
      <c r="E320" s="19" t="s">
        <v>414</v>
      </c>
      <c r="F320" s="19"/>
      <c r="G320" s="20">
        <f>G321+G322</f>
        <v>1263.3</v>
      </c>
      <c r="H320" s="20">
        <f>H321+H322</f>
        <v>1258.3</v>
      </c>
      <c r="I320" s="20">
        <f>I321+I322</f>
        <v>1258.3</v>
      </c>
    </row>
    <row r="321" spans="1:9" ht="51" x14ac:dyDescent="0.2">
      <c r="A321" s="30" t="s">
        <v>64</v>
      </c>
      <c r="B321" s="24" t="s">
        <v>25</v>
      </c>
      <c r="C321" s="24">
        <v>0</v>
      </c>
      <c r="D321" s="24" t="s">
        <v>352</v>
      </c>
      <c r="E321" s="24" t="s">
        <v>414</v>
      </c>
      <c r="F321" s="27" t="s">
        <v>65</v>
      </c>
      <c r="G321" s="25">
        <f>' первое чтение вед стр-ра'!G136</f>
        <v>1186.8</v>
      </c>
      <c r="H321" s="25">
        <f>' первое чтение вед стр-ра'!H136</f>
        <v>1186.8</v>
      </c>
      <c r="I321" s="25">
        <f>' первое чтение вед стр-ра'!I136</f>
        <v>1186.8</v>
      </c>
    </row>
    <row r="322" spans="1:9" ht="25.5" x14ac:dyDescent="0.2">
      <c r="A322" s="30" t="s">
        <v>355</v>
      </c>
      <c r="B322" s="24" t="s">
        <v>25</v>
      </c>
      <c r="C322" s="24">
        <v>0</v>
      </c>
      <c r="D322" s="24" t="s">
        <v>352</v>
      </c>
      <c r="E322" s="24" t="s">
        <v>414</v>
      </c>
      <c r="F322" s="27" t="s">
        <v>66</v>
      </c>
      <c r="G322" s="25">
        <f>' первое чтение вед стр-ра'!G137</f>
        <v>76.5</v>
      </c>
      <c r="H322" s="25">
        <f>' первое чтение вед стр-ра'!H137</f>
        <v>71.5</v>
      </c>
      <c r="I322" s="25">
        <f>' первое чтение вед стр-ра'!I137</f>
        <v>71.5</v>
      </c>
    </row>
    <row r="323" spans="1:9" s="9" customFormat="1" ht="25.5" x14ac:dyDescent="0.2">
      <c r="A323" s="18" t="s">
        <v>159</v>
      </c>
      <c r="B323" s="19" t="s">
        <v>25</v>
      </c>
      <c r="C323" s="19">
        <v>0</v>
      </c>
      <c r="D323" s="19" t="s">
        <v>352</v>
      </c>
      <c r="E323" s="19" t="s">
        <v>413</v>
      </c>
      <c r="F323" s="19"/>
      <c r="G323" s="20">
        <f>G324</f>
        <v>3423.3</v>
      </c>
      <c r="H323" s="20">
        <f>H324</f>
        <v>3323.3</v>
      </c>
      <c r="I323" s="20">
        <f>I324</f>
        <v>3323.3</v>
      </c>
    </row>
    <row r="324" spans="1:9" ht="25.5" x14ac:dyDescent="0.2">
      <c r="A324" s="79" t="s">
        <v>119</v>
      </c>
      <c r="B324" s="24" t="s">
        <v>25</v>
      </c>
      <c r="C324" s="24">
        <v>0</v>
      </c>
      <c r="D324" s="24" t="s">
        <v>352</v>
      </c>
      <c r="E324" s="24" t="s">
        <v>413</v>
      </c>
      <c r="F324" s="27" t="s">
        <v>63</v>
      </c>
      <c r="G324" s="25">
        <f>' первое чтение вед стр-ра'!G139</f>
        <v>3423.3</v>
      </c>
      <c r="H324" s="25">
        <f>' первое чтение вед стр-ра'!H139</f>
        <v>3323.3</v>
      </c>
      <c r="I324" s="25">
        <f>' первое чтение вед стр-ра'!I139</f>
        <v>3323.3</v>
      </c>
    </row>
    <row r="325" spans="1:9" ht="25.5" x14ac:dyDescent="0.2">
      <c r="A325" s="18" t="s">
        <v>163</v>
      </c>
      <c r="B325" s="19" t="s">
        <v>25</v>
      </c>
      <c r="C325" s="19">
        <v>0</v>
      </c>
      <c r="D325" s="19" t="s">
        <v>352</v>
      </c>
      <c r="E325" s="19" t="s">
        <v>412</v>
      </c>
      <c r="F325" s="19"/>
      <c r="G325" s="20">
        <f>' первое чтение вед стр-ра'!G131</f>
        <v>360</v>
      </c>
      <c r="H325" s="20">
        <f>' первое чтение вед стр-ра'!H131</f>
        <v>0</v>
      </c>
      <c r="I325" s="20">
        <f>' первое чтение вед стр-ра'!I131</f>
        <v>0</v>
      </c>
    </row>
    <row r="326" spans="1:9" ht="51" x14ac:dyDescent="0.2">
      <c r="A326" s="30" t="s">
        <v>64</v>
      </c>
      <c r="B326" s="24" t="s">
        <v>25</v>
      </c>
      <c r="C326" s="24">
        <v>0</v>
      </c>
      <c r="D326" s="24" t="s">
        <v>352</v>
      </c>
      <c r="E326" s="24" t="s">
        <v>412</v>
      </c>
      <c r="F326" s="27" t="s">
        <v>65</v>
      </c>
      <c r="G326" s="20">
        <f>' первое чтение вед стр-ра'!G132</f>
        <v>50</v>
      </c>
      <c r="H326" s="20">
        <f>' первое чтение вед стр-ра'!H132</f>
        <v>0</v>
      </c>
      <c r="I326" s="20">
        <f>' первое чтение вед стр-ра'!I132</f>
        <v>0</v>
      </c>
    </row>
    <row r="327" spans="1:9" s="9" customFormat="1" ht="25.5" x14ac:dyDescent="0.2">
      <c r="A327" s="30" t="s">
        <v>355</v>
      </c>
      <c r="B327" s="24" t="s">
        <v>25</v>
      </c>
      <c r="C327" s="24">
        <v>0</v>
      </c>
      <c r="D327" s="24" t="s">
        <v>352</v>
      </c>
      <c r="E327" s="24" t="s">
        <v>412</v>
      </c>
      <c r="F327" s="27" t="s">
        <v>66</v>
      </c>
      <c r="G327" s="25">
        <f>' первое чтение вед стр-ра'!G133</f>
        <v>310</v>
      </c>
      <c r="H327" s="25">
        <f>' первое чтение вед стр-ра'!H133</f>
        <v>0</v>
      </c>
      <c r="I327" s="25">
        <f>' первое чтение вед стр-ра'!I133</f>
        <v>0</v>
      </c>
    </row>
    <row r="328" spans="1:9" ht="38.25" x14ac:dyDescent="0.2">
      <c r="A328" s="18" t="s">
        <v>161</v>
      </c>
      <c r="B328" s="19" t="s">
        <v>25</v>
      </c>
      <c r="C328" s="19">
        <v>0</v>
      </c>
      <c r="D328" s="19" t="s">
        <v>352</v>
      </c>
      <c r="E328" s="19" t="s">
        <v>411</v>
      </c>
      <c r="F328" s="19"/>
      <c r="G328" s="20">
        <f>G329</f>
        <v>150</v>
      </c>
      <c r="H328" s="20">
        <f>H329</f>
        <v>0</v>
      </c>
      <c r="I328" s="20">
        <f>I329</f>
        <v>0</v>
      </c>
    </row>
    <row r="329" spans="1:9" ht="25.5" x14ac:dyDescent="0.2">
      <c r="A329" s="30" t="s">
        <v>355</v>
      </c>
      <c r="B329" s="24" t="s">
        <v>25</v>
      </c>
      <c r="C329" s="24">
        <v>0</v>
      </c>
      <c r="D329" s="24" t="s">
        <v>352</v>
      </c>
      <c r="E329" s="24" t="s">
        <v>411</v>
      </c>
      <c r="F329" s="27" t="s">
        <v>66</v>
      </c>
      <c r="G329" s="25">
        <f>' первое чтение вед стр-ра'!G127</f>
        <v>150</v>
      </c>
      <c r="H329" s="25">
        <f>' первое чтение вед стр-ра'!H127</f>
        <v>0</v>
      </c>
      <c r="I329" s="25">
        <f>' первое чтение вед стр-ра'!I127</f>
        <v>0</v>
      </c>
    </row>
    <row r="330" spans="1:9" ht="25.5" x14ac:dyDescent="0.2">
      <c r="A330" s="18" t="s">
        <v>292</v>
      </c>
      <c r="B330" s="19" t="s">
        <v>25</v>
      </c>
      <c r="C330" s="19">
        <v>0</v>
      </c>
      <c r="D330" s="19" t="s">
        <v>352</v>
      </c>
      <c r="E330" s="19" t="s">
        <v>410</v>
      </c>
      <c r="F330" s="19"/>
      <c r="G330" s="20">
        <f>G331</f>
        <v>47475.4</v>
      </c>
      <c r="H330" s="20">
        <f>H331</f>
        <v>46327.7</v>
      </c>
      <c r="I330" s="20">
        <f>I331</f>
        <v>45850.3</v>
      </c>
    </row>
    <row r="331" spans="1:9" s="71" customFormat="1" ht="25.5" x14ac:dyDescent="0.2">
      <c r="A331" s="79" t="s">
        <v>119</v>
      </c>
      <c r="B331" s="74" t="s">
        <v>25</v>
      </c>
      <c r="C331" s="74">
        <v>0</v>
      </c>
      <c r="D331" s="74" t="s">
        <v>352</v>
      </c>
      <c r="E331" s="74" t="s">
        <v>410</v>
      </c>
      <c r="F331" s="75" t="s">
        <v>63</v>
      </c>
      <c r="G331" s="54">
        <f>' первое чтение вед стр-ра'!G129</f>
        <v>47475.4</v>
      </c>
      <c r="H331" s="54">
        <f>' первое чтение вед стр-ра'!H129</f>
        <v>46327.7</v>
      </c>
      <c r="I331" s="54">
        <f>' первое чтение вед стр-ра'!I129</f>
        <v>45850.3</v>
      </c>
    </row>
    <row r="332" spans="1:9" s="71" customFormat="1" ht="25.5" x14ac:dyDescent="0.2">
      <c r="A332" s="18" t="s">
        <v>292</v>
      </c>
      <c r="B332" s="19" t="s">
        <v>25</v>
      </c>
      <c r="C332" s="19">
        <v>0</v>
      </c>
      <c r="D332" s="19" t="s">
        <v>352</v>
      </c>
      <c r="E332" s="19" t="s">
        <v>563</v>
      </c>
      <c r="F332" s="19"/>
      <c r="G332" s="54">
        <f>G333</f>
        <v>15640.6</v>
      </c>
      <c r="H332" s="54">
        <f t="shared" ref="H332:I332" si="48">H333</f>
        <v>13367.8</v>
      </c>
      <c r="I332" s="54">
        <f t="shared" si="48"/>
        <v>13367.8</v>
      </c>
    </row>
    <row r="333" spans="1:9" s="71" customFormat="1" ht="25.5" x14ac:dyDescent="0.2">
      <c r="A333" s="79" t="s">
        <v>119</v>
      </c>
      <c r="B333" s="74" t="s">
        <v>25</v>
      </c>
      <c r="C333" s="74">
        <v>0</v>
      </c>
      <c r="D333" s="74" t="s">
        <v>352</v>
      </c>
      <c r="E333" s="74" t="s">
        <v>563</v>
      </c>
      <c r="F333" s="75" t="s">
        <v>63</v>
      </c>
      <c r="G333" s="54">
        <f>' первое чтение вед стр-ра'!G322</f>
        <v>15640.6</v>
      </c>
      <c r="H333" s="54">
        <f>' первое чтение вед стр-ра'!H322</f>
        <v>13367.8</v>
      </c>
      <c r="I333" s="54">
        <f>' первое чтение вед стр-ра'!I322</f>
        <v>13367.8</v>
      </c>
    </row>
    <row r="334" spans="1:9" ht="51" x14ac:dyDescent="0.2">
      <c r="A334" s="133" t="s">
        <v>409</v>
      </c>
      <c r="B334" s="40" t="s">
        <v>49</v>
      </c>
      <c r="C334" s="40"/>
      <c r="D334" s="40"/>
      <c r="E334" s="40"/>
      <c r="F334" s="137"/>
      <c r="G334" s="38">
        <f>SUM(G335,G342,G353)</f>
        <v>244677.80000000002</v>
      </c>
      <c r="H334" s="38">
        <f>SUM(H335,H342,H353)</f>
        <v>5389.6</v>
      </c>
      <c r="I334" s="38">
        <f>SUM(I335,I342,I353)</f>
        <v>5389.6</v>
      </c>
    </row>
    <row r="335" spans="1:9" s="71" customFormat="1" ht="25.5" x14ac:dyDescent="0.2">
      <c r="A335" s="136" t="s">
        <v>408</v>
      </c>
      <c r="B335" s="129" t="s">
        <v>49</v>
      </c>
      <c r="C335" s="129" t="s">
        <v>395</v>
      </c>
      <c r="D335" s="129"/>
      <c r="E335" s="129"/>
      <c r="F335" s="135"/>
      <c r="G335" s="128">
        <f>SUM(G336)+G338+G340</f>
        <v>4090</v>
      </c>
      <c r="H335" s="128">
        <f t="shared" ref="H335:I335" si="49">SUM(H336)+H338+H340</f>
        <v>0</v>
      </c>
      <c r="I335" s="128">
        <f t="shared" si="49"/>
        <v>0</v>
      </c>
    </row>
    <row r="336" spans="1:9" s="66" customFormat="1" ht="25.5" x14ac:dyDescent="0.2">
      <c r="A336" s="67" t="s">
        <v>249</v>
      </c>
      <c r="B336" s="69">
        <v>10</v>
      </c>
      <c r="C336" s="69">
        <v>1</v>
      </c>
      <c r="D336" s="69" t="s">
        <v>352</v>
      </c>
      <c r="E336" s="69" t="s">
        <v>407</v>
      </c>
      <c r="F336" s="69"/>
      <c r="G336" s="70">
        <f>G337</f>
        <v>940.9</v>
      </c>
      <c r="H336" s="70">
        <f>H337</f>
        <v>0</v>
      </c>
      <c r="I336" s="70">
        <f>I337</f>
        <v>0</v>
      </c>
    </row>
    <row r="337" spans="1:9" s="12" customFormat="1" ht="25.5" x14ac:dyDescent="0.2">
      <c r="A337" s="30" t="s">
        <v>355</v>
      </c>
      <c r="B337" s="24">
        <v>10</v>
      </c>
      <c r="C337" s="24">
        <v>1</v>
      </c>
      <c r="D337" s="24" t="s">
        <v>352</v>
      </c>
      <c r="E337" s="24" t="s">
        <v>407</v>
      </c>
      <c r="F337" s="24" t="s">
        <v>66</v>
      </c>
      <c r="G337" s="25">
        <f>' первое чтение вед стр-ра'!G470</f>
        <v>940.9</v>
      </c>
      <c r="H337" s="25">
        <f>' первое чтение вед стр-ра'!H470</f>
        <v>0</v>
      </c>
      <c r="I337" s="25">
        <f>' первое чтение вед стр-ра'!I470</f>
        <v>0</v>
      </c>
    </row>
    <row r="338" spans="1:9" s="71" customFormat="1" x14ac:dyDescent="0.2">
      <c r="A338" s="81" t="s">
        <v>291</v>
      </c>
      <c r="B338" s="69">
        <v>10</v>
      </c>
      <c r="C338" s="69">
        <v>1</v>
      </c>
      <c r="D338" s="69" t="s">
        <v>352</v>
      </c>
      <c r="E338" s="69" t="s">
        <v>406</v>
      </c>
      <c r="F338" s="69"/>
      <c r="G338" s="70">
        <f>G339</f>
        <v>2149.1</v>
      </c>
      <c r="H338" s="70">
        <f>H339</f>
        <v>0</v>
      </c>
      <c r="I338" s="70">
        <f>I339</f>
        <v>0</v>
      </c>
    </row>
    <row r="339" spans="1:9" s="71" customFormat="1" ht="25.5" x14ac:dyDescent="0.2">
      <c r="A339" s="72" t="s">
        <v>355</v>
      </c>
      <c r="B339" s="74">
        <v>10</v>
      </c>
      <c r="C339" s="74">
        <v>1</v>
      </c>
      <c r="D339" s="74" t="s">
        <v>352</v>
      </c>
      <c r="E339" s="74" t="s">
        <v>406</v>
      </c>
      <c r="F339" s="74" t="s">
        <v>66</v>
      </c>
      <c r="G339" s="54">
        <f>' первое чтение вед стр-ра'!G474</f>
        <v>2149.1</v>
      </c>
      <c r="H339" s="54">
        <f>' первое чтение вед стр-ра'!H474</f>
        <v>0</v>
      </c>
      <c r="I339" s="54">
        <f>' первое чтение вед стр-ра'!I474</f>
        <v>0</v>
      </c>
    </row>
    <row r="340" spans="1:9" s="71" customFormat="1" ht="25.5" x14ac:dyDescent="0.2">
      <c r="A340" s="18" t="s">
        <v>580</v>
      </c>
      <c r="B340" s="19" t="s">
        <v>49</v>
      </c>
      <c r="C340" s="19" t="s">
        <v>395</v>
      </c>
      <c r="D340" s="19" t="s">
        <v>352</v>
      </c>
      <c r="E340" s="19" t="s">
        <v>582</v>
      </c>
      <c r="F340" s="196"/>
      <c r="G340" s="54">
        <f>G341</f>
        <v>1000</v>
      </c>
      <c r="H340" s="54">
        <f t="shared" ref="H340:I340" si="50">H341</f>
        <v>0</v>
      </c>
      <c r="I340" s="54">
        <f t="shared" si="50"/>
        <v>0</v>
      </c>
    </row>
    <row r="341" spans="1:9" s="71" customFormat="1" ht="25.5" x14ac:dyDescent="0.2">
      <c r="A341" s="28" t="s">
        <v>74</v>
      </c>
      <c r="B341" s="24" t="s">
        <v>49</v>
      </c>
      <c r="C341" s="24" t="s">
        <v>395</v>
      </c>
      <c r="D341" s="24" t="s">
        <v>352</v>
      </c>
      <c r="E341" s="24" t="s">
        <v>582</v>
      </c>
      <c r="F341" s="27" t="s">
        <v>66</v>
      </c>
      <c r="G341" s="54">
        <f>' первое чтение вед стр-ра'!G472</f>
        <v>1000</v>
      </c>
      <c r="H341" s="54">
        <f>' первое чтение вед стр-ра'!H472</f>
        <v>0</v>
      </c>
      <c r="I341" s="54">
        <f>' первое чтение вед стр-ра'!I472</f>
        <v>0</v>
      </c>
    </row>
    <row r="342" spans="1:9" s="134" customFormat="1" ht="39" x14ac:dyDescent="0.25">
      <c r="A342" s="127" t="s">
        <v>405</v>
      </c>
      <c r="B342" s="126" t="s">
        <v>49</v>
      </c>
      <c r="C342" s="126" t="s">
        <v>386</v>
      </c>
      <c r="D342" s="126"/>
      <c r="E342" s="126"/>
      <c r="F342" s="126"/>
      <c r="G342" s="125">
        <f>SUM(G343,G345,G347)+G349+G351</f>
        <v>234804.2</v>
      </c>
      <c r="H342" s="125">
        <f t="shared" ref="H342:I342" si="51">SUM(H343,H345,H347)+H349+H351</f>
        <v>0</v>
      </c>
      <c r="I342" s="125">
        <f t="shared" si="51"/>
        <v>0</v>
      </c>
    </row>
    <row r="343" spans="1:9" ht="52.5" customHeight="1" x14ac:dyDescent="0.2">
      <c r="A343" s="18" t="s">
        <v>404</v>
      </c>
      <c r="B343" s="19">
        <v>10</v>
      </c>
      <c r="C343" s="19">
        <v>3</v>
      </c>
      <c r="D343" s="19" t="s">
        <v>352</v>
      </c>
      <c r="E343" s="19" t="s">
        <v>403</v>
      </c>
      <c r="F343" s="19"/>
      <c r="G343" s="20">
        <f>G344</f>
        <v>169886.5</v>
      </c>
      <c r="H343" s="20">
        <f>H344</f>
        <v>0</v>
      </c>
      <c r="I343" s="20">
        <f>I344</f>
        <v>0</v>
      </c>
    </row>
    <row r="344" spans="1:9" s="71" customFormat="1" x14ac:dyDescent="0.2">
      <c r="A344" s="79" t="s">
        <v>70</v>
      </c>
      <c r="B344" s="74">
        <v>10</v>
      </c>
      <c r="C344" s="74">
        <v>3</v>
      </c>
      <c r="D344" s="74" t="s">
        <v>352</v>
      </c>
      <c r="E344" s="74" t="s">
        <v>403</v>
      </c>
      <c r="F344" s="74" t="s">
        <v>71</v>
      </c>
      <c r="G344" s="54">
        <f>' первое чтение вед стр-ра'!G476</f>
        <v>169886.5</v>
      </c>
      <c r="H344" s="54">
        <f>' первое чтение вед стр-ра'!H476</f>
        <v>0</v>
      </c>
      <c r="I344" s="54">
        <f>' первое чтение вед стр-ра'!I476</f>
        <v>0</v>
      </c>
    </row>
    <row r="345" spans="1:9" ht="63.75" x14ac:dyDescent="0.2">
      <c r="A345" s="18" t="s">
        <v>402</v>
      </c>
      <c r="B345" s="19">
        <v>10</v>
      </c>
      <c r="C345" s="19">
        <v>3</v>
      </c>
      <c r="D345" s="19" t="s">
        <v>352</v>
      </c>
      <c r="E345" s="19" t="s">
        <v>401</v>
      </c>
      <c r="F345" s="19"/>
      <c r="G345" s="20">
        <f>G346</f>
        <v>13355.2</v>
      </c>
      <c r="H345" s="20">
        <f>H346</f>
        <v>0</v>
      </c>
      <c r="I345" s="20">
        <f>I346</f>
        <v>0</v>
      </c>
    </row>
    <row r="346" spans="1:9" x14ac:dyDescent="0.2">
      <c r="A346" s="28" t="s">
        <v>70</v>
      </c>
      <c r="B346" s="24">
        <v>10</v>
      </c>
      <c r="C346" s="24">
        <v>3</v>
      </c>
      <c r="D346" s="24" t="s">
        <v>352</v>
      </c>
      <c r="E346" s="24" t="s">
        <v>401</v>
      </c>
      <c r="F346" s="24" t="s">
        <v>71</v>
      </c>
      <c r="G346" s="25">
        <f>' первое чтение вед стр-ра'!G478</f>
        <v>13355.2</v>
      </c>
      <c r="H346" s="25">
        <f>' первое чтение вед стр-ра'!H478</f>
        <v>0</v>
      </c>
      <c r="I346" s="25">
        <f>' первое чтение вед стр-ра'!I478</f>
        <v>0</v>
      </c>
    </row>
    <row r="347" spans="1:9" ht="38.25" x14ac:dyDescent="0.2">
      <c r="A347" s="18" t="s">
        <v>255</v>
      </c>
      <c r="B347" s="19">
        <v>10</v>
      </c>
      <c r="C347" s="19">
        <v>3</v>
      </c>
      <c r="D347" s="19" t="s">
        <v>352</v>
      </c>
      <c r="E347" s="19" t="s">
        <v>400</v>
      </c>
      <c r="F347" s="19"/>
      <c r="G347" s="20">
        <f>G348</f>
        <v>2590.5</v>
      </c>
      <c r="H347" s="20">
        <f>H348</f>
        <v>0</v>
      </c>
      <c r="I347" s="20">
        <f>I348</f>
        <v>0</v>
      </c>
    </row>
    <row r="348" spans="1:9" x14ac:dyDescent="0.2">
      <c r="A348" s="28" t="s">
        <v>70</v>
      </c>
      <c r="B348" s="24">
        <v>10</v>
      </c>
      <c r="C348" s="24">
        <v>3</v>
      </c>
      <c r="D348" s="24" t="s">
        <v>352</v>
      </c>
      <c r="E348" s="24" t="s">
        <v>400</v>
      </c>
      <c r="F348" s="24" t="s">
        <v>71</v>
      </c>
      <c r="G348" s="25">
        <f>' первое чтение вед стр-ра'!G480</f>
        <v>2590.5</v>
      </c>
      <c r="H348" s="25">
        <f>' первое чтение вед стр-ра'!H480</f>
        <v>0</v>
      </c>
      <c r="I348" s="25">
        <f>' первое чтение вед стр-ра'!I480</f>
        <v>0</v>
      </c>
    </row>
    <row r="349" spans="1:9" s="71" customFormat="1" ht="63.75" x14ac:dyDescent="0.2">
      <c r="A349" s="18" t="s">
        <v>567</v>
      </c>
      <c r="B349" s="19">
        <v>10</v>
      </c>
      <c r="C349" s="19">
        <v>3</v>
      </c>
      <c r="D349" s="19" t="s">
        <v>352</v>
      </c>
      <c r="E349" s="19" t="s">
        <v>559</v>
      </c>
      <c r="F349" s="19"/>
      <c r="G349" s="20">
        <f>G350</f>
        <v>44670</v>
      </c>
      <c r="H349" s="20">
        <f>H350</f>
        <v>0</v>
      </c>
      <c r="I349" s="20">
        <f>I350</f>
        <v>0</v>
      </c>
    </row>
    <row r="350" spans="1:9" s="71" customFormat="1" x14ac:dyDescent="0.2">
      <c r="A350" s="79" t="s">
        <v>70</v>
      </c>
      <c r="B350" s="74">
        <v>10</v>
      </c>
      <c r="C350" s="74">
        <v>3</v>
      </c>
      <c r="D350" s="74" t="s">
        <v>352</v>
      </c>
      <c r="E350" s="74" t="s">
        <v>559</v>
      </c>
      <c r="F350" s="74" t="s">
        <v>71</v>
      </c>
      <c r="G350" s="54">
        <f>' первое чтение вед стр-ра'!G482</f>
        <v>44670</v>
      </c>
      <c r="H350" s="54">
        <f>' первое чтение вед стр-ра'!H482</f>
        <v>0</v>
      </c>
      <c r="I350" s="54">
        <f>' первое чтение вед стр-ра'!I482</f>
        <v>0</v>
      </c>
    </row>
    <row r="351" spans="1:9" s="71" customFormat="1" ht="25.5" x14ac:dyDescent="0.2">
      <c r="A351" s="18" t="s">
        <v>565</v>
      </c>
      <c r="B351" s="19">
        <v>10</v>
      </c>
      <c r="C351" s="19">
        <v>3</v>
      </c>
      <c r="D351" s="19" t="s">
        <v>352</v>
      </c>
      <c r="E351" s="19" t="s">
        <v>566</v>
      </c>
      <c r="F351" s="19"/>
      <c r="G351" s="54">
        <f>G352</f>
        <v>4302</v>
      </c>
      <c r="H351" s="54">
        <f t="shared" ref="H351:I351" si="52">H352</f>
        <v>0</v>
      </c>
      <c r="I351" s="54">
        <f t="shared" si="52"/>
        <v>0</v>
      </c>
    </row>
    <row r="352" spans="1:9" s="71" customFormat="1" x14ac:dyDescent="0.2">
      <c r="A352" s="79" t="s">
        <v>70</v>
      </c>
      <c r="B352" s="74">
        <v>10</v>
      </c>
      <c r="C352" s="74">
        <v>3</v>
      </c>
      <c r="D352" s="74" t="s">
        <v>352</v>
      </c>
      <c r="E352" s="74" t="s">
        <v>566</v>
      </c>
      <c r="F352" s="74" t="s">
        <v>71</v>
      </c>
      <c r="G352" s="54">
        <f>' первое чтение вед стр-ра'!G484</f>
        <v>4302</v>
      </c>
      <c r="H352" s="54">
        <f>' первое чтение вед стр-ра'!H484</f>
        <v>0</v>
      </c>
      <c r="I352" s="54">
        <f>' первое чтение вед стр-ра'!I484</f>
        <v>0</v>
      </c>
    </row>
    <row r="353" spans="1:9" s="71" customFormat="1" ht="25.5" x14ac:dyDescent="0.2">
      <c r="A353" s="131" t="s">
        <v>399</v>
      </c>
      <c r="B353" s="129" t="s">
        <v>49</v>
      </c>
      <c r="C353" s="129" t="s">
        <v>383</v>
      </c>
      <c r="D353" s="129"/>
      <c r="E353" s="129"/>
      <c r="F353" s="129"/>
      <c r="G353" s="128">
        <f>SUM(G354)</f>
        <v>5783.6</v>
      </c>
      <c r="H353" s="128">
        <f>SUM(H354)</f>
        <v>5389.6</v>
      </c>
      <c r="I353" s="128">
        <f>SUM(I354)</f>
        <v>5389.6</v>
      </c>
    </row>
    <row r="354" spans="1:9" ht="25.5" x14ac:dyDescent="0.2">
      <c r="A354" s="18" t="s">
        <v>265</v>
      </c>
      <c r="B354" s="19">
        <v>10</v>
      </c>
      <c r="C354" s="19">
        <v>4</v>
      </c>
      <c r="D354" s="19" t="s">
        <v>352</v>
      </c>
      <c r="E354" s="19" t="s">
        <v>398</v>
      </c>
      <c r="F354" s="19"/>
      <c r="G354" s="20">
        <f>G355+G356</f>
        <v>5783.6</v>
      </c>
      <c r="H354" s="20">
        <f>H355+H356</f>
        <v>5389.6</v>
      </c>
      <c r="I354" s="20">
        <f>I355+I356</f>
        <v>5389.6</v>
      </c>
    </row>
    <row r="355" spans="1:9" ht="51" x14ac:dyDescent="0.2">
      <c r="A355" s="30" t="s">
        <v>64</v>
      </c>
      <c r="B355" s="24">
        <v>10</v>
      </c>
      <c r="C355" s="24">
        <v>4</v>
      </c>
      <c r="D355" s="24" t="s">
        <v>352</v>
      </c>
      <c r="E355" s="24" t="s">
        <v>398</v>
      </c>
      <c r="F355" s="24" t="s">
        <v>65</v>
      </c>
      <c r="G355" s="25">
        <f>' первое чтение вед стр-ра'!G501</f>
        <v>5343.2000000000007</v>
      </c>
      <c r="H355" s="25">
        <f>' первое чтение вед стр-ра'!H501</f>
        <v>5343.2000000000007</v>
      </c>
      <c r="I355" s="25">
        <f>' первое чтение вед стр-ра'!I501</f>
        <v>5343.2000000000007</v>
      </c>
    </row>
    <row r="356" spans="1:9" ht="25.5" x14ac:dyDescent="0.2">
      <c r="A356" s="30" t="s">
        <v>355</v>
      </c>
      <c r="B356" s="24">
        <v>10</v>
      </c>
      <c r="C356" s="24">
        <v>4</v>
      </c>
      <c r="D356" s="24" t="s">
        <v>352</v>
      </c>
      <c r="E356" s="24" t="s">
        <v>398</v>
      </c>
      <c r="F356" s="24" t="s">
        <v>66</v>
      </c>
      <c r="G356" s="25">
        <f>' первое чтение вед стр-ра'!G502</f>
        <v>440.4</v>
      </c>
      <c r="H356" s="25">
        <f>' первое чтение вед стр-ра'!H502</f>
        <v>46.4</v>
      </c>
      <c r="I356" s="25">
        <f>' первое чтение вед стр-ра'!I502</f>
        <v>46.4</v>
      </c>
    </row>
    <row r="357" spans="1:9" ht="38.25" x14ac:dyDescent="0.2">
      <c r="A357" s="133" t="s">
        <v>397</v>
      </c>
      <c r="B357" s="40" t="s">
        <v>20</v>
      </c>
      <c r="C357" s="40"/>
      <c r="D357" s="40"/>
      <c r="E357" s="40"/>
      <c r="F357" s="40"/>
      <c r="G357" s="38">
        <f>SUM(G358,G365,G370,G373,G376,G379)+G382</f>
        <v>162940.1</v>
      </c>
      <c r="H357" s="38">
        <f t="shared" ref="H357:I357" si="53">SUM(H358,H365,H370,H373,H376,H379)+H382</f>
        <v>162121.70000000001</v>
      </c>
      <c r="I357" s="38">
        <f t="shared" si="53"/>
        <v>135049.5</v>
      </c>
    </row>
    <row r="358" spans="1:9" ht="25.5" x14ac:dyDescent="0.2">
      <c r="A358" s="132" t="s">
        <v>396</v>
      </c>
      <c r="B358" s="126" t="s">
        <v>20</v>
      </c>
      <c r="C358" s="126" t="s">
        <v>395</v>
      </c>
      <c r="D358" s="126"/>
      <c r="E358" s="126"/>
      <c r="F358" s="126"/>
      <c r="G358" s="125">
        <f>G363+G361+G359</f>
        <v>115684</v>
      </c>
      <c r="H358" s="125">
        <f>H363+H361+H359</f>
        <v>119779.5</v>
      </c>
      <c r="I358" s="125">
        <f>I363+I361+I359</f>
        <v>99420</v>
      </c>
    </row>
    <row r="359" spans="1:9" ht="63.75" x14ac:dyDescent="0.2">
      <c r="A359" s="18" t="s">
        <v>309</v>
      </c>
      <c r="B359" s="19">
        <v>11</v>
      </c>
      <c r="C359" s="19">
        <v>1</v>
      </c>
      <c r="D359" s="19" t="s">
        <v>352</v>
      </c>
      <c r="E359" s="19" t="s">
        <v>394</v>
      </c>
      <c r="F359" s="19"/>
      <c r="G359" s="20">
        <f>G360</f>
        <v>30000</v>
      </c>
      <c r="H359" s="20">
        <f>H360</f>
        <v>30000</v>
      </c>
      <c r="I359" s="20">
        <f>I360</f>
        <v>34651</v>
      </c>
    </row>
    <row r="360" spans="1:9" ht="25.5" x14ac:dyDescent="0.2">
      <c r="A360" s="28" t="s">
        <v>119</v>
      </c>
      <c r="B360" s="24">
        <v>11</v>
      </c>
      <c r="C360" s="24">
        <v>1</v>
      </c>
      <c r="D360" s="24" t="s">
        <v>352</v>
      </c>
      <c r="E360" s="24" t="s">
        <v>394</v>
      </c>
      <c r="F360" s="24" t="s">
        <v>63</v>
      </c>
      <c r="G360" s="25">
        <f>' первое чтение вед стр-ра'!G453</f>
        <v>30000</v>
      </c>
      <c r="H360" s="25">
        <f>' первое чтение вед стр-ра'!H453</f>
        <v>30000</v>
      </c>
      <c r="I360" s="25">
        <f>' первое чтение вед стр-ра'!I453</f>
        <v>34651</v>
      </c>
    </row>
    <row r="361" spans="1:9" ht="63.75" x14ac:dyDescent="0.2">
      <c r="A361" s="18" t="s">
        <v>309</v>
      </c>
      <c r="B361" s="19">
        <v>11</v>
      </c>
      <c r="C361" s="19">
        <v>1</v>
      </c>
      <c r="D361" s="19" t="s">
        <v>352</v>
      </c>
      <c r="E361" s="19" t="s">
        <v>393</v>
      </c>
      <c r="F361" s="19"/>
      <c r="G361" s="20">
        <f>G362</f>
        <v>1500</v>
      </c>
      <c r="H361" s="20">
        <f>H362</f>
        <v>0</v>
      </c>
      <c r="I361" s="20">
        <f>I362</f>
        <v>0</v>
      </c>
    </row>
    <row r="362" spans="1:9" ht="25.5" x14ac:dyDescent="0.2">
      <c r="A362" s="28" t="s">
        <v>119</v>
      </c>
      <c r="B362" s="24">
        <v>11</v>
      </c>
      <c r="C362" s="24">
        <v>1</v>
      </c>
      <c r="D362" s="24" t="s">
        <v>352</v>
      </c>
      <c r="E362" s="24" t="s">
        <v>393</v>
      </c>
      <c r="F362" s="24" t="s">
        <v>63</v>
      </c>
      <c r="G362" s="25">
        <f>' первое чтение вед стр-ра'!G455</f>
        <v>1500</v>
      </c>
      <c r="H362" s="25">
        <f>' первое чтение вед стр-ра'!H455</f>
        <v>0</v>
      </c>
      <c r="I362" s="25">
        <f>' первое чтение вед стр-ра'!I455</f>
        <v>0</v>
      </c>
    </row>
    <row r="363" spans="1:9" s="71" customFormat="1" ht="25.5" x14ac:dyDescent="0.2">
      <c r="A363" s="67" t="s">
        <v>245</v>
      </c>
      <c r="B363" s="69">
        <v>11</v>
      </c>
      <c r="C363" s="69">
        <v>1</v>
      </c>
      <c r="D363" s="69" t="s">
        <v>352</v>
      </c>
      <c r="E363" s="69" t="s">
        <v>392</v>
      </c>
      <c r="F363" s="69"/>
      <c r="G363" s="70">
        <f>G364</f>
        <v>84184</v>
      </c>
      <c r="H363" s="70">
        <f>H364</f>
        <v>89779.5</v>
      </c>
      <c r="I363" s="70">
        <f>I364</f>
        <v>64769</v>
      </c>
    </row>
    <row r="364" spans="1:9" s="71" customFormat="1" ht="25.5" x14ac:dyDescent="0.2">
      <c r="A364" s="79" t="s">
        <v>119</v>
      </c>
      <c r="B364" s="74">
        <v>11</v>
      </c>
      <c r="C364" s="74">
        <v>1</v>
      </c>
      <c r="D364" s="74" t="s">
        <v>352</v>
      </c>
      <c r="E364" s="74" t="s">
        <v>392</v>
      </c>
      <c r="F364" s="74" t="s">
        <v>63</v>
      </c>
      <c r="G364" s="54">
        <f>' первое чтение вед стр-ра'!G457</f>
        <v>84184</v>
      </c>
      <c r="H364" s="54">
        <f>' первое чтение вед стр-ра'!H457</f>
        <v>89779.5</v>
      </c>
      <c r="I364" s="54">
        <f>' первое чтение вед стр-ра'!I457</f>
        <v>64769</v>
      </c>
    </row>
    <row r="365" spans="1:9" s="71" customFormat="1" ht="25.5" x14ac:dyDescent="0.2">
      <c r="A365" s="131" t="s">
        <v>391</v>
      </c>
      <c r="B365" s="129" t="s">
        <v>20</v>
      </c>
      <c r="C365" s="129" t="s">
        <v>390</v>
      </c>
      <c r="D365" s="129"/>
      <c r="E365" s="129"/>
      <c r="F365" s="129"/>
      <c r="G365" s="128">
        <f>SUM(G366,G368)</f>
        <v>14980</v>
      </c>
      <c r="H365" s="128">
        <f>SUM(H366,H368)</f>
        <v>14980</v>
      </c>
      <c r="I365" s="128">
        <f>SUM(I366,I368)</f>
        <v>13380</v>
      </c>
    </row>
    <row r="366" spans="1:9" s="71" customFormat="1" ht="25.5" x14ac:dyDescent="0.2">
      <c r="A366" s="67" t="s">
        <v>247</v>
      </c>
      <c r="B366" s="69">
        <v>11</v>
      </c>
      <c r="C366" s="69">
        <v>2</v>
      </c>
      <c r="D366" s="69" t="s">
        <v>352</v>
      </c>
      <c r="E366" s="69" t="s">
        <v>389</v>
      </c>
      <c r="F366" s="69"/>
      <c r="G366" s="70">
        <f>G367</f>
        <v>14330</v>
      </c>
      <c r="H366" s="70">
        <f>H367</f>
        <v>14330</v>
      </c>
      <c r="I366" s="70">
        <f>I367</f>
        <v>12730</v>
      </c>
    </row>
    <row r="367" spans="1:9" s="71" customFormat="1" ht="25.5" x14ac:dyDescent="0.2">
      <c r="A367" s="79" t="s">
        <v>119</v>
      </c>
      <c r="B367" s="74">
        <v>11</v>
      </c>
      <c r="C367" s="74">
        <v>2</v>
      </c>
      <c r="D367" s="74" t="s">
        <v>352</v>
      </c>
      <c r="E367" s="74" t="s">
        <v>389</v>
      </c>
      <c r="F367" s="74" t="s">
        <v>63</v>
      </c>
      <c r="G367" s="54">
        <f>' первое чтение вед стр-ра'!G459</f>
        <v>14330</v>
      </c>
      <c r="H367" s="54">
        <f>' первое чтение вед стр-ра'!H459</f>
        <v>14330</v>
      </c>
      <c r="I367" s="54">
        <f>' первое чтение вед стр-ра'!I459</f>
        <v>12730</v>
      </c>
    </row>
    <row r="368" spans="1:9" s="71" customFormat="1" x14ac:dyDescent="0.2">
      <c r="A368" s="67" t="s">
        <v>257</v>
      </c>
      <c r="B368" s="69">
        <v>11</v>
      </c>
      <c r="C368" s="69">
        <v>2</v>
      </c>
      <c r="D368" s="69" t="s">
        <v>352</v>
      </c>
      <c r="E368" s="69" t="s">
        <v>388</v>
      </c>
      <c r="F368" s="69"/>
      <c r="G368" s="70">
        <f>G369</f>
        <v>650</v>
      </c>
      <c r="H368" s="70">
        <f>H369</f>
        <v>650</v>
      </c>
      <c r="I368" s="70">
        <f>I369</f>
        <v>650</v>
      </c>
    </row>
    <row r="369" spans="1:9" s="71" customFormat="1" ht="25.5" x14ac:dyDescent="0.2">
      <c r="A369" s="79" t="s">
        <v>119</v>
      </c>
      <c r="B369" s="74">
        <v>11</v>
      </c>
      <c r="C369" s="74">
        <v>2</v>
      </c>
      <c r="D369" s="74" t="s">
        <v>352</v>
      </c>
      <c r="E369" s="74" t="s">
        <v>388</v>
      </c>
      <c r="F369" s="74" t="s">
        <v>63</v>
      </c>
      <c r="G369" s="54">
        <f>' первое чтение вед стр-ра'!G490</f>
        <v>650</v>
      </c>
      <c r="H369" s="54">
        <f>' первое чтение вед стр-ра'!H490</f>
        <v>650</v>
      </c>
      <c r="I369" s="54">
        <f>' первое чтение вед стр-ра'!I490</f>
        <v>650</v>
      </c>
    </row>
    <row r="370" spans="1:9" ht="25.5" x14ac:dyDescent="0.2">
      <c r="A370" s="127" t="s">
        <v>387</v>
      </c>
      <c r="B370" s="126" t="s">
        <v>20</v>
      </c>
      <c r="C370" s="126" t="s">
        <v>386</v>
      </c>
      <c r="D370" s="126"/>
      <c r="E370" s="126"/>
      <c r="F370" s="126"/>
      <c r="G370" s="125">
        <f t="shared" ref="G370:I371" si="54">G371</f>
        <v>3500</v>
      </c>
      <c r="H370" s="125">
        <f t="shared" si="54"/>
        <v>3500</v>
      </c>
      <c r="I370" s="125">
        <f t="shared" si="54"/>
        <v>2000</v>
      </c>
    </row>
    <row r="371" spans="1:9" ht="25.5" x14ac:dyDescent="0.2">
      <c r="A371" s="18" t="s">
        <v>258</v>
      </c>
      <c r="B371" s="19">
        <v>11</v>
      </c>
      <c r="C371" s="19">
        <v>3</v>
      </c>
      <c r="D371" s="19" t="s">
        <v>352</v>
      </c>
      <c r="E371" s="19" t="s">
        <v>385</v>
      </c>
      <c r="F371" s="19"/>
      <c r="G371" s="20">
        <f t="shared" si="54"/>
        <v>3500</v>
      </c>
      <c r="H371" s="20">
        <f t="shared" si="54"/>
        <v>3500</v>
      </c>
      <c r="I371" s="20">
        <f t="shared" si="54"/>
        <v>2000</v>
      </c>
    </row>
    <row r="372" spans="1:9" ht="25.5" x14ac:dyDescent="0.2">
      <c r="A372" s="28" t="s">
        <v>119</v>
      </c>
      <c r="B372" s="24">
        <v>11</v>
      </c>
      <c r="C372" s="24">
        <v>3</v>
      </c>
      <c r="D372" s="24" t="s">
        <v>352</v>
      </c>
      <c r="E372" s="24" t="s">
        <v>385</v>
      </c>
      <c r="F372" s="24" t="s">
        <v>63</v>
      </c>
      <c r="G372" s="25">
        <f>' первое чтение вед стр-ра'!G492</f>
        <v>3500</v>
      </c>
      <c r="H372" s="25">
        <f>' первое чтение вед стр-ра'!H492</f>
        <v>3500</v>
      </c>
      <c r="I372" s="25">
        <f>' первое чтение вед стр-ра'!I492</f>
        <v>2000</v>
      </c>
    </row>
    <row r="373" spans="1:9" x14ac:dyDescent="0.2">
      <c r="A373" s="127" t="s">
        <v>384</v>
      </c>
      <c r="B373" s="126" t="s">
        <v>20</v>
      </c>
      <c r="C373" s="126" t="s">
        <v>383</v>
      </c>
      <c r="D373" s="126"/>
      <c r="E373" s="126"/>
      <c r="F373" s="126"/>
      <c r="G373" s="125">
        <f t="shared" ref="G373:I374" si="55">G374</f>
        <v>582.6</v>
      </c>
      <c r="H373" s="125">
        <f t="shared" si="55"/>
        <v>500</v>
      </c>
      <c r="I373" s="125">
        <f t="shared" si="55"/>
        <v>354.3</v>
      </c>
    </row>
    <row r="374" spans="1:9" x14ac:dyDescent="0.2">
      <c r="A374" s="18" t="s">
        <v>261</v>
      </c>
      <c r="B374" s="19">
        <v>11</v>
      </c>
      <c r="C374" s="19">
        <v>4</v>
      </c>
      <c r="D374" s="19" t="s">
        <v>352</v>
      </c>
      <c r="E374" s="19" t="s">
        <v>382</v>
      </c>
      <c r="F374" s="24"/>
      <c r="G374" s="25">
        <f t="shared" si="55"/>
        <v>582.6</v>
      </c>
      <c r="H374" s="25">
        <f t="shared" si="55"/>
        <v>500</v>
      </c>
      <c r="I374" s="25">
        <f t="shared" si="55"/>
        <v>354.3</v>
      </c>
    </row>
    <row r="375" spans="1:9" ht="25.5" x14ac:dyDescent="0.2">
      <c r="A375" s="28" t="s">
        <v>119</v>
      </c>
      <c r="B375" s="24">
        <v>11</v>
      </c>
      <c r="C375" s="24">
        <v>4</v>
      </c>
      <c r="D375" s="24" t="s">
        <v>352</v>
      </c>
      <c r="E375" s="24" t="s">
        <v>382</v>
      </c>
      <c r="F375" s="24" t="s">
        <v>63</v>
      </c>
      <c r="G375" s="25">
        <f>' первое чтение вед стр-ра'!G494</f>
        <v>582.6</v>
      </c>
      <c r="H375" s="25">
        <f>' первое чтение вед стр-ра'!H494</f>
        <v>500</v>
      </c>
      <c r="I375" s="25">
        <f>' первое чтение вед стр-ра'!I494</f>
        <v>354.3</v>
      </c>
    </row>
    <row r="376" spans="1:9" ht="25.5" x14ac:dyDescent="0.2">
      <c r="A376" s="127" t="s">
        <v>381</v>
      </c>
      <c r="B376" s="126" t="s">
        <v>20</v>
      </c>
      <c r="C376" s="126" t="s">
        <v>380</v>
      </c>
      <c r="D376" s="126"/>
      <c r="E376" s="126"/>
      <c r="F376" s="126"/>
      <c r="G376" s="125">
        <f>G377</f>
        <v>8950</v>
      </c>
      <c r="H376" s="125">
        <f t="shared" ref="H376:I377" si="56">H377</f>
        <v>8950</v>
      </c>
      <c r="I376" s="125">
        <f t="shared" si="56"/>
        <v>5700</v>
      </c>
    </row>
    <row r="377" spans="1:9" s="71" customFormat="1" ht="25.5" x14ac:dyDescent="0.2">
      <c r="A377" s="67" t="s">
        <v>263</v>
      </c>
      <c r="B377" s="97">
        <v>11</v>
      </c>
      <c r="C377" s="97">
        <v>5</v>
      </c>
      <c r="D377" s="97" t="s">
        <v>352</v>
      </c>
      <c r="E377" s="97" t="s">
        <v>379</v>
      </c>
      <c r="F377" s="69"/>
      <c r="G377" s="70">
        <f>G378</f>
        <v>8950</v>
      </c>
      <c r="H377" s="70">
        <f t="shared" si="56"/>
        <v>8950</v>
      </c>
      <c r="I377" s="70">
        <f t="shared" si="56"/>
        <v>5700</v>
      </c>
    </row>
    <row r="378" spans="1:9" ht="25.5" x14ac:dyDescent="0.2">
      <c r="A378" s="28" t="s">
        <v>119</v>
      </c>
      <c r="B378" s="16">
        <v>11</v>
      </c>
      <c r="C378" s="16">
        <v>5</v>
      </c>
      <c r="D378" s="16" t="s">
        <v>352</v>
      </c>
      <c r="E378" s="16" t="s">
        <v>379</v>
      </c>
      <c r="F378" s="24" t="s">
        <v>63</v>
      </c>
      <c r="G378" s="25">
        <f>' первое чтение вед стр-ра'!G496</f>
        <v>8950</v>
      </c>
      <c r="H378" s="25">
        <f>' первое чтение вед стр-ра'!H496</f>
        <v>8950</v>
      </c>
      <c r="I378" s="25">
        <f>' первое чтение вед стр-ра'!I496</f>
        <v>5700</v>
      </c>
    </row>
    <row r="379" spans="1:9" s="71" customFormat="1" ht="38.25" x14ac:dyDescent="0.2">
      <c r="A379" s="131" t="s">
        <v>377</v>
      </c>
      <c r="B379" s="130" t="s">
        <v>20</v>
      </c>
      <c r="C379" s="130" t="s">
        <v>376</v>
      </c>
      <c r="D379" s="130"/>
      <c r="E379" s="130"/>
      <c r="F379" s="129"/>
      <c r="G379" s="128">
        <f t="shared" ref="G379:I380" si="57">G380</f>
        <v>15243.5</v>
      </c>
      <c r="H379" s="128">
        <f t="shared" si="57"/>
        <v>14412.2</v>
      </c>
      <c r="I379" s="128">
        <f t="shared" si="57"/>
        <v>14195.2</v>
      </c>
    </row>
    <row r="380" spans="1:9" ht="38.25" x14ac:dyDescent="0.2">
      <c r="A380" s="18" t="s">
        <v>267</v>
      </c>
      <c r="B380" s="19">
        <v>11</v>
      </c>
      <c r="C380" s="19">
        <v>6</v>
      </c>
      <c r="D380" s="19" t="s">
        <v>352</v>
      </c>
      <c r="E380" s="19" t="s">
        <v>375</v>
      </c>
      <c r="F380" s="5"/>
      <c r="G380" s="6">
        <f t="shared" si="57"/>
        <v>15243.5</v>
      </c>
      <c r="H380" s="6">
        <f t="shared" si="57"/>
        <v>14412.2</v>
      </c>
      <c r="I380" s="6">
        <f t="shared" si="57"/>
        <v>14195.2</v>
      </c>
    </row>
    <row r="381" spans="1:9" ht="25.5" x14ac:dyDescent="0.2">
      <c r="A381" s="28" t="s">
        <v>119</v>
      </c>
      <c r="B381" s="24">
        <v>11</v>
      </c>
      <c r="C381" s="24">
        <v>6</v>
      </c>
      <c r="D381" s="24" t="s">
        <v>352</v>
      </c>
      <c r="E381" s="24" t="s">
        <v>375</v>
      </c>
      <c r="F381" s="24" t="s">
        <v>63</v>
      </c>
      <c r="G381" s="25">
        <f>' первое чтение вед стр-ра'!G504</f>
        <v>15243.5</v>
      </c>
      <c r="H381" s="25">
        <f>' первое чтение вед стр-ра'!H504</f>
        <v>14412.2</v>
      </c>
      <c r="I381" s="25">
        <f>' первое чтение вед стр-ра'!I504</f>
        <v>14195.2</v>
      </c>
    </row>
    <row r="382" spans="1:9" ht="25.5" x14ac:dyDescent="0.2">
      <c r="A382" s="127" t="s">
        <v>374</v>
      </c>
      <c r="B382" s="104" t="s">
        <v>20</v>
      </c>
      <c r="C382" s="104" t="s">
        <v>373</v>
      </c>
      <c r="D382" s="104"/>
      <c r="E382" s="104"/>
      <c r="F382" s="126"/>
      <c r="G382" s="125">
        <f t="shared" ref="G382:I383" si="58">G383</f>
        <v>4000</v>
      </c>
      <c r="H382" s="125">
        <f t="shared" si="58"/>
        <v>0</v>
      </c>
      <c r="I382" s="125">
        <f t="shared" si="58"/>
        <v>0</v>
      </c>
    </row>
    <row r="383" spans="1:9" x14ac:dyDescent="0.2">
      <c r="A383" s="18" t="s">
        <v>314</v>
      </c>
      <c r="B383" s="122">
        <v>11</v>
      </c>
      <c r="C383" s="19" t="s">
        <v>373</v>
      </c>
      <c r="D383" s="19" t="s">
        <v>352</v>
      </c>
      <c r="E383" s="16" t="s">
        <v>372</v>
      </c>
      <c r="F383" s="19"/>
      <c r="G383" s="20">
        <f t="shared" si="58"/>
        <v>4000</v>
      </c>
      <c r="H383" s="20">
        <f t="shared" si="58"/>
        <v>0</v>
      </c>
      <c r="I383" s="20">
        <f t="shared" si="58"/>
        <v>0</v>
      </c>
    </row>
    <row r="384" spans="1:9" ht="25.5" x14ac:dyDescent="0.2">
      <c r="A384" s="28" t="s">
        <v>119</v>
      </c>
      <c r="B384" s="122">
        <v>11</v>
      </c>
      <c r="C384" s="19" t="s">
        <v>373</v>
      </c>
      <c r="D384" s="19" t="s">
        <v>352</v>
      </c>
      <c r="E384" s="16" t="s">
        <v>372</v>
      </c>
      <c r="F384" s="24" t="s">
        <v>63</v>
      </c>
      <c r="G384" s="25">
        <f>' первое чтение вед стр-ра'!G498</f>
        <v>4000</v>
      </c>
      <c r="H384" s="25">
        <f>' первое чтение вед стр-ра'!H498</f>
        <v>0</v>
      </c>
      <c r="I384" s="25">
        <f>' первое чтение вед стр-ра'!I498</f>
        <v>0</v>
      </c>
    </row>
    <row r="385" spans="1:9" ht="25.5" x14ac:dyDescent="0.2">
      <c r="A385" s="39" t="s">
        <v>371</v>
      </c>
      <c r="B385" s="40" t="s">
        <v>22</v>
      </c>
      <c r="C385" s="40"/>
      <c r="D385" s="40"/>
      <c r="E385" s="40"/>
      <c r="F385" s="40"/>
      <c r="G385" s="38">
        <f t="shared" ref="G385:I386" si="59">G386</f>
        <v>2136.1</v>
      </c>
      <c r="H385" s="38">
        <f t="shared" si="59"/>
        <v>2123</v>
      </c>
      <c r="I385" s="38">
        <f t="shared" si="59"/>
        <v>2105</v>
      </c>
    </row>
    <row r="386" spans="1:9" ht="25.5" x14ac:dyDescent="0.2">
      <c r="A386" s="18" t="s">
        <v>155</v>
      </c>
      <c r="B386" s="19">
        <v>12</v>
      </c>
      <c r="C386" s="19">
        <v>0</v>
      </c>
      <c r="D386" s="19" t="s">
        <v>352</v>
      </c>
      <c r="E386" s="19" t="s">
        <v>370</v>
      </c>
      <c r="F386" s="19"/>
      <c r="G386" s="20">
        <f t="shared" si="59"/>
        <v>2136.1</v>
      </c>
      <c r="H386" s="20">
        <f t="shared" si="59"/>
        <v>2123</v>
      </c>
      <c r="I386" s="20">
        <f t="shared" si="59"/>
        <v>2105</v>
      </c>
    </row>
    <row r="387" spans="1:9" x14ac:dyDescent="0.2">
      <c r="A387" s="28" t="s">
        <v>72</v>
      </c>
      <c r="B387" s="24">
        <v>12</v>
      </c>
      <c r="C387" s="24">
        <v>0</v>
      </c>
      <c r="D387" s="24" t="s">
        <v>352</v>
      </c>
      <c r="E387" s="24" t="s">
        <v>370</v>
      </c>
      <c r="F387" s="24" t="s">
        <v>73</v>
      </c>
      <c r="G387" s="25">
        <f>' первое чтение вед стр-ра'!G112</f>
        <v>2136.1</v>
      </c>
      <c r="H387" s="25">
        <f>' первое чтение вед стр-ра'!H112</f>
        <v>2123</v>
      </c>
      <c r="I387" s="25">
        <f>' первое чтение вед стр-ра'!I112</f>
        <v>2105</v>
      </c>
    </row>
    <row r="388" spans="1:9" ht="25.5" x14ac:dyDescent="0.2">
      <c r="A388" s="39" t="s">
        <v>369</v>
      </c>
      <c r="B388" s="40" t="s">
        <v>59</v>
      </c>
      <c r="C388" s="40"/>
      <c r="D388" s="40"/>
      <c r="E388" s="40"/>
      <c r="F388" s="40"/>
      <c r="G388" s="38">
        <f t="shared" ref="G388:I389" si="60">G389</f>
        <v>3182.8</v>
      </c>
      <c r="H388" s="38">
        <f t="shared" si="60"/>
        <v>0</v>
      </c>
      <c r="I388" s="38">
        <f t="shared" si="60"/>
        <v>0</v>
      </c>
    </row>
    <row r="389" spans="1:9" s="71" customFormat="1" x14ac:dyDescent="0.2">
      <c r="A389" s="67" t="s">
        <v>125</v>
      </c>
      <c r="B389" s="69">
        <v>13</v>
      </c>
      <c r="C389" s="69">
        <v>0</v>
      </c>
      <c r="D389" s="69" t="s">
        <v>352</v>
      </c>
      <c r="E389" s="69" t="s">
        <v>368</v>
      </c>
      <c r="F389" s="69"/>
      <c r="G389" s="70">
        <f t="shared" si="60"/>
        <v>3182.8</v>
      </c>
      <c r="H389" s="70">
        <f t="shared" si="60"/>
        <v>0</v>
      </c>
      <c r="I389" s="70">
        <f t="shared" si="60"/>
        <v>0</v>
      </c>
    </row>
    <row r="390" spans="1:9" s="71" customFormat="1" ht="25.5" x14ac:dyDescent="0.2">
      <c r="A390" s="79" t="s">
        <v>119</v>
      </c>
      <c r="B390" s="74">
        <v>13</v>
      </c>
      <c r="C390" s="74">
        <v>0</v>
      </c>
      <c r="D390" s="74" t="s">
        <v>352</v>
      </c>
      <c r="E390" s="74" t="s">
        <v>368</v>
      </c>
      <c r="F390" s="74" t="s">
        <v>63</v>
      </c>
      <c r="G390" s="54">
        <f>' первое чтение вед стр-ра'!G43</f>
        <v>3182.8</v>
      </c>
      <c r="H390" s="54">
        <f>' первое чтение вед стр-ра'!H43</f>
        <v>0</v>
      </c>
      <c r="I390" s="54">
        <f>' первое чтение вед стр-ра'!I43</f>
        <v>0</v>
      </c>
    </row>
    <row r="391" spans="1:9" ht="38.25" x14ac:dyDescent="0.2">
      <c r="A391" s="39" t="s">
        <v>367</v>
      </c>
      <c r="B391" s="40" t="s">
        <v>366</v>
      </c>
      <c r="C391" s="40"/>
      <c r="D391" s="40"/>
      <c r="E391" s="40"/>
      <c r="F391" s="40"/>
      <c r="G391" s="38">
        <f>SUM(G392,G394)</f>
        <v>655</v>
      </c>
      <c r="H391" s="38">
        <f t="shared" ref="H391:I391" si="61">SUM(H392,H394)</f>
        <v>0</v>
      </c>
      <c r="I391" s="38">
        <f t="shared" si="61"/>
        <v>0</v>
      </c>
    </row>
    <row r="392" spans="1:9" ht="25.5" x14ac:dyDescent="0.2">
      <c r="A392" s="18" t="s">
        <v>139</v>
      </c>
      <c r="B392" s="19">
        <v>14</v>
      </c>
      <c r="C392" s="19">
        <v>0</v>
      </c>
      <c r="D392" s="19" t="s">
        <v>352</v>
      </c>
      <c r="E392" s="19" t="s">
        <v>365</v>
      </c>
      <c r="F392" s="19"/>
      <c r="G392" s="20">
        <f>G393</f>
        <v>203</v>
      </c>
      <c r="H392" s="20">
        <f>H393</f>
        <v>0</v>
      </c>
      <c r="I392" s="20">
        <f>I393</f>
        <v>0</v>
      </c>
    </row>
    <row r="393" spans="1:9" ht="25.5" x14ac:dyDescent="0.2">
      <c r="A393" s="30" t="s">
        <v>355</v>
      </c>
      <c r="B393" s="24">
        <v>14</v>
      </c>
      <c r="C393" s="24">
        <v>0</v>
      </c>
      <c r="D393" s="24" t="s">
        <v>352</v>
      </c>
      <c r="E393" s="24" t="s">
        <v>365</v>
      </c>
      <c r="F393" s="27" t="s">
        <v>66</v>
      </c>
      <c r="G393" s="25">
        <f>' первое чтение вед стр-ра'!G74</f>
        <v>203</v>
      </c>
      <c r="H393" s="25">
        <f>' первое чтение вед стр-ра'!H74</f>
        <v>0</v>
      </c>
      <c r="I393" s="25">
        <f>' первое чтение вед стр-ра'!I74</f>
        <v>0</v>
      </c>
    </row>
    <row r="394" spans="1:9" s="194" customFormat="1" ht="25.5" x14ac:dyDescent="0.2">
      <c r="A394" s="18" t="s">
        <v>551</v>
      </c>
      <c r="B394" s="24" t="s">
        <v>366</v>
      </c>
      <c r="C394" s="24" t="s">
        <v>353</v>
      </c>
      <c r="D394" s="24" t="s">
        <v>352</v>
      </c>
      <c r="E394" s="24" t="s">
        <v>553</v>
      </c>
      <c r="F394" s="27"/>
      <c r="G394" s="25">
        <f>G395</f>
        <v>452</v>
      </c>
      <c r="H394" s="25">
        <f t="shared" ref="H394:I394" si="62">H395</f>
        <v>0</v>
      </c>
      <c r="I394" s="25">
        <f t="shared" si="62"/>
        <v>0</v>
      </c>
    </row>
    <row r="395" spans="1:9" s="194" customFormat="1" x14ac:dyDescent="0.2">
      <c r="A395" s="30" t="s">
        <v>70</v>
      </c>
      <c r="B395" s="24" t="s">
        <v>366</v>
      </c>
      <c r="C395" s="24" t="s">
        <v>353</v>
      </c>
      <c r="D395" s="24" t="s">
        <v>352</v>
      </c>
      <c r="E395" s="24" t="s">
        <v>553</v>
      </c>
      <c r="F395" s="27" t="s">
        <v>71</v>
      </c>
      <c r="G395" s="25">
        <f>' первое чтение вед стр-ра'!G76</f>
        <v>452</v>
      </c>
      <c r="H395" s="25">
        <f>' первое чтение вед стр-ра'!H76</f>
        <v>0</v>
      </c>
      <c r="I395" s="25">
        <f>' первое чтение вед стр-ра'!I76</f>
        <v>0</v>
      </c>
    </row>
    <row r="396" spans="1:9" ht="38.25" x14ac:dyDescent="0.2">
      <c r="A396" s="39" t="s">
        <v>364</v>
      </c>
      <c r="B396" s="40" t="s">
        <v>363</v>
      </c>
      <c r="C396" s="40"/>
      <c r="D396" s="40"/>
      <c r="E396" s="40"/>
      <c r="F396" s="40"/>
      <c r="G396" s="38">
        <f>SUM(G397)</f>
        <v>3111.5</v>
      </c>
      <c r="H396" s="38">
        <f t="shared" ref="H396:I396" si="63">SUM(H397)</f>
        <v>0</v>
      </c>
      <c r="I396" s="38">
        <f t="shared" si="63"/>
        <v>0</v>
      </c>
    </row>
    <row r="397" spans="1:9" s="71" customFormat="1" ht="25.5" x14ac:dyDescent="0.2">
      <c r="A397" s="67" t="s">
        <v>541</v>
      </c>
      <c r="B397" s="124">
        <v>15</v>
      </c>
      <c r="C397" s="69" t="s">
        <v>353</v>
      </c>
      <c r="D397" s="69" t="s">
        <v>362</v>
      </c>
      <c r="E397" s="69"/>
      <c r="F397" s="69"/>
      <c r="G397" s="70">
        <f>G398</f>
        <v>3111.5</v>
      </c>
      <c r="H397" s="70">
        <f>H398</f>
        <v>0</v>
      </c>
      <c r="I397" s="70">
        <f>I398</f>
        <v>0</v>
      </c>
    </row>
    <row r="398" spans="1:9" ht="25.5" x14ac:dyDescent="0.2">
      <c r="A398" s="81" t="s">
        <v>339</v>
      </c>
      <c r="B398" s="122">
        <v>15</v>
      </c>
      <c r="C398" s="19" t="s">
        <v>353</v>
      </c>
      <c r="D398" s="69" t="s">
        <v>362</v>
      </c>
      <c r="E398" s="16" t="s">
        <v>361</v>
      </c>
      <c r="F398" s="19"/>
      <c r="G398" s="20">
        <f>SUM(G399:G400)</f>
        <v>3111.5</v>
      </c>
      <c r="H398" s="20">
        <f>SUM(H399:H400)</f>
        <v>0</v>
      </c>
      <c r="I398" s="20">
        <f>SUM(I399:I400)</f>
        <v>0</v>
      </c>
    </row>
    <row r="399" spans="1:9" ht="25.5" x14ac:dyDescent="0.2">
      <c r="A399" s="30" t="s">
        <v>355</v>
      </c>
      <c r="B399" s="123">
        <v>15</v>
      </c>
      <c r="C399" s="24" t="s">
        <v>353</v>
      </c>
      <c r="D399" s="69" t="s">
        <v>362</v>
      </c>
      <c r="E399" s="16" t="s">
        <v>361</v>
      </c>
      <c r="F399" s="24" t="s">
        <v>66</v>
      </c>
      <c r="G399" s="54">
        <f>' первое чтение вед стр-ра'!G487+' первое чтение вед стр-ра'!G461</f>
        <v>2591</v>
      </c>
      <c r="H399" s="54">
        <f>' первое чтение вед стр-ра'!H487</f>
        <v>0</v>
      </c>
      <c r="I399" s="54">
        <f>' первое чтение вед стр-ра'!I487</f>
        <v>0</v>
      </c>
    </row>
    <row r="400" spans="1:9" ht="25.5" x14ac:dyDescent="0.2">
      <c r="A400" s="28" t="s">
        <v>119</v>
      </c>
      <c r="B400" s="123">
        <v>15</v>
      </c>
      <c r="C400" s="24" t="s">
        <v>353</v>
      </c>
      <c r="D400" s="69" t="s">
        <v>362</v>
      </c>
      <c r="E400" s="16" t="s">
        <v>361</v>
      </c>
      <c r="F400" s="24" t="s">
        <v>63</v>
      </c>
      <c r="G400" s="54">
        <f>' первое чтение вед стр-ра'!G488</f>
        <v>520.5</v>
      </c>
      <c r="H400" s="54">
        <f>' первое чтение вед стр-ра'!H488</f>
        <v>0</v>
      </c>
      <c r="I400" s="54">
        <f>' первое чтение вед стр-ра'!I488</f>
        <v>0</v>
      </c>
    </row>
    <row r="401" spans="1:9" s="194" customFormat="1" ht="25.5" x14ac:dyDescent="0.2">
      <c r="A401" s="39" t="s">
        <v>602</v>
      </c>
      <c r="B401" s="40" t="s">
        <v>603</v>
      </c>
      <c r="C401" s="40"/>
      <c r="D401" s="40"/>
      <c r="E401" s="40"/>
      <c r="F401" s="40"/>
      <c r="G401" s="38">
        <f>SUM(G402,G404,G406,G408,G410,G412)</f>
        <v>250</v>
      </c>
      <c r="H401" s="38">
        <f t="shared" ref="H401:I401" si="64">SUM(H402,H404,H406,H408,H410,H412)</f>
        <v>0</v>
      </c>
      <c r="I401" s="38">
        <f t="shared" si="64"/>
        <v>0</v>
      </c>
    </row>
    <row r="402" spans="1:9" s="194" customFormat="1" ht="30.75" customHeight="1" x14ac:dyDescent="0.2">
      <c r="A402" s="18" t="s">
        <v>590</v>
      </c>
      <c r="B402" s="122">
        <v>16</v>
      </c>
      <c r="C402" s="24" t="s">
        <v>353</v>
      </c>
      <c r="D402" s="24" t="s">
        <v>352</v>
      </c>
      <c r="E402" s="19" t="s">
        <v>604</v>
      </c>
      <c r="F402" s="19"/>
      <c r="G402" s="20">
        <f>G403</f>
        <v>10</v>
      </c>
      <c r="H402" s="20">
        <f t="shared" ref="H402:I402" si="65">H403</f>
        <v>0</v>
      </c>
      <c r="I402" s="20">
        <f t="shared" si="65"/>
        <v>0</v>
      </c>
    </row>
    <row r="403" spans="1:9" s="26" customFormat="1" ht="30.75" customHeight="1" x14ac:dyDescent="0.2">
      <c r="A403" s="28" t="s">
        <v>119</v>
      </c>
      <c r="B403" s="123">
        <v>16</v>
      </c>
      <c r="C403" s="24" t="s">
        <v>353</v>
      </c>
      <c r="D403" s="24" t="s">
        <v>352</v>
      </c>
      <c r="E403" s="24" t="s">
        <v>604</v>
      </c>
      <c r="F403" s="24" t="s">
        <v>63</v>
      </c>
      <c r="G403" s="25">
        <f>' первое чтение вед стр-ра'!G327</f>
        <v>10</v>
      </c>
      <c r="H403" s="25">
        <f>' первое чтение вед стр-ра'!H327</f>
        <v>0</v>
      </c>
      <c r="I403" s="25">
        <f>' первое чтение вед стр-ра'!I327</f>
        <v>0</v>
      </c>
    </row>
    <row r="404" spans="1:9" s="194" customFormat="1" ht="30.75" customHeight="1" x14ac:dyDescent="0.2">
      <c r="A404" s="18" t="s">
        <v>593</v>
      </c>
      <c r="B404" s="122">
        <v>16</v>
      </c>
      <c r="C404" s="24" t="s">
        <v>353</v>
      </c>
      <c r="D404" s="24" t="s">
        <v>352</v>
      </c>
      <c r="E404" s="19" t="s">
        <v>605</v>
      </c>
      <c r="F404" s="19"/>
      <c r="G404" s="20">
        <f>G405</f>
        <v>10</v>
      </c>
      <c r="H404" s="20">
        <f t="shared" ref="H404:I404" si="66">H405</f>
        <v>0</v>
      </c>
      <c r="I404" s="20">
        <f t="shared" si="66"/>
        <v>0</v>
      </c>
    </row>
    <row r="405" spans="1:9" s="26" customFormat="1" ht="30.75" customHeight="1" x14ac:dyDescent="0.2">
      <c r="A405" s="28" t="s">
        <v>119</v>
      </c>
      <c r="B405" s="123">
        <v>16</v>
      </c>
      <c r="C405" s="24" t="s">
        <v>353</v>
      </c>
      <c r="D405" s="24" t="s">
        <v>352</v>
      </c>
      <c r="E405" s="24" t="s">
        <v>606</v>
      </c>
      <c r="F405" s="24" t="s">
        <v>63</v>
      </c>
      <c r="G405" s="25">
        <f>' первое чтение вед стр-ра'!G329</f>
        <v>10</v>
      </c>
      <c r="H405" s="25">
        <f>' первое чтение вед стр-ра'!H329</f>
        <v>0</v>
      </c>
      <c r="I405" s="25">
        <f>' первое чтение вед стр-ра'!I329</f>
        <v>0</v>
      </c>
    </row>
    <row r="406" spans="1:9" s="194" customFormat="1" ht="30.75" customHeight="1" x14ac:dyDescent="0.2">
      <c r="A406" s="18" t="s">
        <v>595</v>
      </c>
      <c r="B406" s="122">
        <v>16</v>
      </c>
      <c r="C406" s="24" t="s">
        <v>353</v>
      </c>
      <c r="D406" s="24" t="s">
        <v>352</v>
      </c>
      <c r="E406" s="19" t="s">
        <v>607</v>
      </c>
      <c r="F406" s="19"/>
      <c r="G406" s="20">
        <f>G407</f>
        <v>110</v>
      </c>
      <c r="H406" s="20">
        <f t="shared" ref="H406:I406" si="67">H407</f>
        <v>0</v>
      </c>
      <c r="I406" s="20">
        <f t="shared" si="67"/>
        <v>0</v>
      </c>
    </row>
    <row r="407" spans="1:9" s="26" customFormat="1" ht="30.75" customHeight="1" x14ac:dyDescent="0.2">
      <c r="A407" s="28" t="s">
        <v>119</v>
      </c>
      <c r="B407" s="123">
        <v>16</v>
      </c>
      <c r="C407" s="24" t="s">
        <v>353</v>
      </c>
      <c r="D407" s="24" t="s">
        <v>352</v>
      </c>
      <c r="E407" s="24" t="s">
        <v>607</v>
      </c>
      <c r="F407" s="24" t="s">
        <v>63</v>
      </c>
      <c r="G407" s="25">
        <f>' первое чтение вед стр-ра'!G331</f>
        <v>110</v>
      </c>
      <c r="H407" s="25">
        <f>' первое чтение вед стр-ра'!H331</f>
        <v>0</v>
      </c>
      <c r="I407" s="25">
        <f>' первое чтение вед стр-ра'!I331</f>
        <v>0</v>
      </c>
    </row>
    <row r="408" spans="1:9" s="194" customFormat="1" ht="30.75" customHeight="1" x14ac:dyDescent="0.2">
      <c r="A408" s="18" t="s">
        <v>597</v>
      </c>
      <c r="B408" s="122">
        <v>16</v>
      </c>
      <c r="C408" s="24" t="s">
        <v>353</v>
      </c>
      <c r="D408" s="24" t="s">
        <v>352</v>
      </c>
      <c r="E408" s="19" t="s">
        <v>608</v>
      </c>
      <c r="F408" s="19"/>
      <c r="G408" s="20">
        <f>G409</f>
        <v>106</v>
      </c>
      <c r="H408" s="20">
        <f t="shared" ref="H408:I408" si="68">H409</f>
        <v>0</v>
      </c>
      <c r="I408" s="20">
        <f t="shared" si="68"/>
        <v>0</v>
      </c>
    </row>
    <row r="409" spans="1:9" s="26" customFormat="1" ht="30.75" customHeight="1" x14ac:dyDescent="0.2">
      <c r="A409" s="28" t="s">
        <v>119</v>
      </c>
      <c r="B409" s="123">
        <v>16</v>
      </c>
      <c r="C409" s="24" t="s">
        <v>353</v>
      </c>
      <c r="D409" s="24" t="s">
        <v>352</v>
      </c>
      <c r="E409" s="24" t="s">
        <v>608</v>
      </c>
      <c r="F409" s="24" t="s">
        <v>63</v>
      </c>
      <c r="G409" s="25">
        <f>' первое чтение вед стр-ра'!G333</f>
        <v>106</v>
      </c>
      <c r="H409" s="25">
        <f>' первое чтение вед стр-ра'!H333</f>
        <v>0</v>
      </c>
      <c r="I409" s="25">
        <f>' первое чтение вед стр-ра'!I333</f>
        <v>0</v>
      </c>
    </row>
    <row r="410" spans="1:9" s="194" customFormat="1" ht="30.75" customHeight="1" x14ac:dyDescent="0.2">
      <c r="A410" s="18" t="s">
        <v>598</v>
      </c>
      <c r="B410" s="122">
        <v>16</v>
      </c>
      <c r="C410" s="24" t="s">
        <v>353</v>
      </c>
      <c r="D410" s="24" t="s">
        <v>352</v>
      </c>
      <c r="E410" s="19" t="s">
        <v>611</v>
      </c>
      <c r="F410" s="19"/>
      <c r="G410" s="20">
        <f>G411</f>
        <v>4</v>
      </c>
      <c r="H410" s="20">
        <f t="shared" ref="H410:I410" si="69">H411</f>
        <v>0</v>
      </c>
      <c r="I410" s="20">
        <f t="shared" si="69"/>
        <v>0</v>
      </c>
    </row>
    <row r="411" spans="1:9" s="26" customFormat="1" ht="30.75" customHeight="1" x14ac:dyDescent="0.2">
      <c r="A411" s="28" t="s">
        <v>119</v>
      </c>
      <c r="B411" s="123">
        <v>16</v>
      </c>
      <c r="C411" s="24" t="s">
        <v>353</v>
      </c>
      <c r="D411" s="24" t="s">
        <v>352</v>
      </c>
      <c r="E411" s="24" t="s">
        <v>609</v>
      </c>
      <c r="F411" s="24" t="s">
        <v>63</v>
      </c>
      <c r="G411" s="25">
        <f>' первое чтение вед стр-ра'!G335</f>
        <v>4</v>
      </c>
      <c r="H411" s="25">
        <f>' первое чтение вед стр-ра'!H335</f>
        <v>0</v>
      </c>
      <c r="I411" s="25">
        <f>' первое чтение вед стр-ра'!I335</f>
        <v>0</v>
      </c>
    </row>
    <row r="412" spans="1:9" s="194" customFormat="1" ht="30.75" customHeight="1" x14ac:dyDescent="0.2">
      <c r="A412" s="18" t="s">
        <v>601</v>
      </c>
      <c r="B412" s="122">
        <v>16</v>
      </c>
      <c r="C412" s="24" t="s">
        <v>353</v>
      </c>
      <c r="D412" s="24" t="s">
        <v>352</v>
      </c>
      <c r="E412" s="19" t="s">
        <v>610</v>
      </c>
      <c r="F412" s="19"/>
      <c r="G412" s="20">
        <f>G413</f>
        <v>10</v>
      </c>
      <c r="H412" s="20">
        <f t="shared" ref="H412:I412" si="70">H413</f>
        <v>0</v>
      </c>
      <c r="I412" s="20">
        <f t="shared" si="70"/>
        <v>0</v>
      </c>
    </row>
    <row r="413" spans="1:9" s="26" customFormat="1" ht="30.75" customHeight="1" x14ac:dyDescent="0.2">
      <c r="A413" s="28" t="s">
        <v>119</v>
      </c>
      <c r="B413" s="123">
        <v>16</v>
      </c>
      <c r="C413" s="24" t="s">
        <v>353</v>
      </c>
      <c r="D413" s="24" t="s">
        <v>352</v>
      </c>
      <c r="E413" s="24" t="s">
        <v>610</v>
      </c>
      <c r="F413" s="24" t="s">
        <v>63</v>
      </c>
      <c r="G413" s="25">
        <f>' первое чтение вед стр-ра'!G337</f>
        <v>10</v>
      </c>
      <c r="H413" s="25">
        <f>' первое чтение вед стр-ра'!H337</f>
        <v>0</v>
      </c>
      <c r="I413" s="25">
        <f>' первое чтение вед стр-ра'!I337</f>
        <v>0</v>
      </c>
    </row>
    <row r="414" spans="1:9" x14ac:dyDescent="0.2">
      <c r="A414" s="39" t="s">
        <v>360</v>
      </c>
      <c r="B414" s="40" t="s">
        <v>299</v>
      </c>
      <c r="C414" s="40"/>
      <c r="D414" s="40"/>
      <c r="E414" s="40"/>
      <c r="F414" s="40"/>
      <c r="G414" s="38">
        <f>SUM(G415,G418,G420,G422)+G426</f>
        <v>11612.899999999998</v>
      </c>
      <c r="H414" s="38">
        <f>SUM(H415,H418,H420,H422)+H426+H428</f>
        <v>34746.800000000003</v>
      </c>
      <c r="I414" s="38">
        <f>SUM(I415,I418,I420,I422)+I426+I428</f>
        <v>55932.099999999991</v>
      </c>
    </row>
    <row r="415" spans="1:9" ht="25.5" x14ac:dyDescent="0.2">
      <c r="A415" s="18" t="s">
        <v>190</v>
      </c>
      <c r="B415" s="19">
        <v>99</v>
      </c>
      <c r="C415" s="19">
        <v>0</v>
      </c>
      <c r="D415" s="19" t="s">
        <v>352</v>
      </c>
      <c r="E415" s="19" t="s">
        <v>359</v>
      </c>
      <c r="F415" s="19"/>
      <c r="G415" s="20">
        <f>G416+G417</f>
        <v>1895</v>
      </c>
      <c r="H415" s="20">
        <f t="shared" ref="H415:I415" si="71">H416+H417</f>
        <v>1895</v>
      </c>
      <c r="I415" s="20">
        <f t="shared" si="71"/>
        <v>1895</v>
      </c>
    </row>
    <row r="416" spans="1:9" ht="51" x14ac:dyDescent="0.2">
      <c r="A416" s="30" t="s">
        <v>64</v>
      </c>
      <c r="B416" s="24">
        <v>99</v>
      </c>
      <c r="C416" s="24">
        <v>0</v>
      </c>
      <c r="D416" s="24" t="s">
        <v>352</v>
      </c>
      <c r="E416" s="24" t="s">
        <v>359</v>
      </c>
      <c r="F416" s="27" t="s">
        <v>65</v>
      </c>
      <c r="G416" s="25">
        <f>' первое чтение вед стр-ра'!G192</f>
        <v>1880</v>
      </c>
      <c r="H416" s="25">
        <f>' первое чтение вед стр-ра'!H192</f>
        <v>1880</v>
      </c>
      <c r="I416" s="25">
        <f>' первое чтение вед стр-ра'!I192</f>
        <v>1880</v>
      </c>
    </row>
    <row r="417" spans="1:16" s="194" customFormat="1" ht="25.5" x14ac:dyDescent="0.2">
      <c r="A417" s="30" t="s">
        <v>355</v>
      </c>
      <c r="B417" s="24">
        <v>99</v>
      </c>
      <c r="C417" s="24">
        <v>0</v>
      </c>
      <c r="D417" s="24" t="s">
        <v>352</v>
      </c>
      <c r="E417" s="24" t="s">
        <v>359</v>
      </c>
      <c r="F417" s="27" t="s">
        <v>66</v>
      </c>
      <c r="G417" s="25">
        <f>' первое чтение вед стр-ра'!G193</f>
        <v>15</v>
      </c>
      <c r="H417" s="25">
        <f>' первое чтение вед стр-ра'!H193</f>
        <v>15</v>
      </c>
      <c r="I417" s="25">
        <f>' первое чтение вед стр-ра'!I193</f>
        <v>15</v>
      </c>
    </row>
    <row r="418" spans="1:16" x14ac:dyDescent="0.2">
      <c r="A418" s="18" t="s">
        <v>191</v>
      </c>
      <c r="B418" s="19">
        <v>99</v>
      </c>
      <c r="C418" s="19">
        <v>0</v>
      </c>
      <c r="D418" s="19" t="s">
        <v>352</v>
      </c>
      <c r="E418" s="19" t="s">
        <v>358</v>
      </c>
      <c r="F418" s="19"/>
      <c r="G418" s="20">
        <f>G419</f>
        <v>3116.7</v>
      </c>
      <c r="H418" s="20">
        <f>H419</f>
        <v>3116.7</v>
      </c>
      <c r="I418" s="20">
        <f>I419</f>
        <v>3116.7</v>
      </c>
    </row>
    <row r="419" spans="1:16" ht="51" x14ac:dyDescent="0.2">
      <c r="A419" s="30" t="s">
        <v>64</v>
      </c>
      <c r="B419" s="24">
        <v>99</v>
      </c>
      <c r="C419" s="24">
        <v>0</v>
      </c>
      <c r="D419" s="24" t="s">
        <v>352</v>
      </c>
      <c r="E419" s="24" t="s">
        <v>358</v>
      </c>
      <c r="F419" s="27" t="s">
        <v>65</v>
      </c>
      <c r="G419" s="25">
        <f>' первое чтение вед стр-ра'!G195</f>
        <v>3116.7</v>
      </c>
      <c r="H419" s="25">
        <f>' первое чтение вед стр-ра'!H195</f>
        <v>3116.7</v>
      </c>
      <c r="I419" s="25">
        <f>' первое чтение вед стр-ра'!I195</f>
        <v>3116.7</v>
      </c>
    </row>
    <row r="420" spans="1:16" x14ac:dyDescent="0.2">
      <c r="A420" s="18" t="s">
        <v>188</v>
      </c>
      <c r="B420" s="19">
        <v>99</v>
      </c>
      <c r="C420" s="19">
        <v>0</v>
      </c>
      <c r="D420" s="19" t="s">
        <v>352</v>
      </c>
      <c r="E420" s="19" t="s">
        <v>357</v>
      </c>
      <c r="F420" s="19"/>
      <c r="G420" s="20">
        <f>G421</f>
        <v>795.4</v>
      </c>
      <c r="H420" s="20">
        <f>H421</f>
        <v>795.4</v>
      </c>
      <c r="I420" s="20">
        <f>I421</f>
        <v>795.4</v>
      </c>
    </row>
    <row r="421" spans="1:16" ht="51" x14ac:dyDescent="0.2">
      <c r="A421" s="30" t="s">
        <v>64</v>
      </c>
      <c r="B421" s="24">
        <v>99</v>
      </c>
      <c r="C421" s="24">
        <v>0</v>
      </c>
      <c r="D421" s="24" t="s">
        <v>352</v>
      </c>
      <c r="E421" s="24" t="s">
        <v>357</v>
      </c>
      <c r="F421" s="27" t="s">
        <v>65</v>
      </c>
      <c r="G421" s="25">
        <f>' первое чтение вед стр-ра'!G183</f>
        <v>795.4</v>
      </c>
      <c r="H421" s="25">
        <f>' первое чтение вед стр-ра'!H183</f>
        <v>795.4</v>
      </c>
      <c r="I421" s="25">
        <f>' первое чтение вед стр-ра'!I183</f>
        <v>795.4</v>
      </c>
    </row>
    <row r="422" spans="1:16" x14ac:dyDescent="0.2">
      <c r="A422" s="18" t="s">
        <v>187</v>
      </c>
      <c r="B422" s="19">
        <v>99</v>
      </c>
      <c r="C422" s="19">
        <v>0</v>
      </c>
      <c r="D422" s="19" t="s">
        <v>352</v>
      </c>
      <c r="E422" s="19" t="s">
        <v>356</v>
      </c>
      <c r="F422" s="19"/>
      <c r="G422" s="20">
        <f>G423+G424+G425</f>
        <v>5788.7999999999993</v>
      </c>
      <c r="H422" s="20">
        <f>H423+H424+H425</f>
        <v>5788.7999999999993</v>
      </c>
      <c r="I422" s="20">
        <f>I423+I424+I425</f>
        <v>5788.7999999999993</v>
      </c>
    </row>
    <row r="423" spans="1:16" ht="51" x14ac:dyDescent="0.2">
      <c r="A423" s="30" t="s">
        <v>64</v>
      </c>
      <c r="B423" s="24">
        <v>99</v>
      </c>
      <c r="C423" s="24">
        <v>0</v>
      </c>
      <c r="D423" s="24" t="s">
        <v>352</v>
      </c>
      <c r="E423" s="24" t="s">
        <v>356</v>
      </c>
      <c r="F423" s="27" t="s">
        <v>65</v>
      </c>
      <c r="G423" s="25">
        <f>' первое чтение вед стр-ра'!G179+' первое чтение вед стр-ра'!G188</f>
        <v>4906</v>
      </c>
      <c r="H423" s="25">
        <f>' первое чтение вед стр-ра'!H179+' первое чтение вед стр-ра'!H188</f>
        <v>4906</v>
      </c>
      <c r="I423" s="25">
        <f>' первое чтение вед стр-ра'!I179+' первое чтение вед стр-ра'!I188</f>
        <v>4906</v>
      </c>
    </row>
    <row r="424" spans="1:16" ht="25.5" x14ac:dyDescent="0.2">
      <c r="A424" s="30" t="s">
        <v>355</v>
      </c>
      <c r="B424" s="24">
        <v>99</v>
      </c>
      <c r="C424" s="24">
        <v>0</v>
      </c>
      <c r="D424" s="24" t="s">
        <v>352</v>
      </c>
      <c r="E424" s="24" t="s">
        <v>356</v>
      </c>
      <c r="F424" s="27" t="s">
        <v>66</v>
      </c>
      <c r="G424" s="25">
        <f>' первое чтение вед стр-ра'!G180+' первое чтение вед стр-ра'!G189</f>
        <v>879.9</v>
      </c>
      <c r="H424" s="25">
        <f>' первое чтение вед стр-ра'!H180+' первое чтение вед стр-ра'!H189</f>
        <v>879.9</v>
      </c>
      <c r="I424" s="25">
        <f>' первое чтение вед стр-ра'!I180+' первое чтение вед стр-ра'!I189</f>
        <v>879.9</v>
      </c>
    </row>
    <row r="425" spans="1:16" x14ac:dyDescent="0.2">
      <c r="A425" s="28" t="s">
        <v>70</v>
      </c>
      <c r="B425" s="24">
        <v>99</v>
      </c>
      <c r="C425" s="24">
        <v>0</v>
      </c>
      <c r="D425" s="24" t="s">
        <v>352</v>
      </c>
      <c r="E425" s="24" t="s">
        <v>356</v>
      </c>
      <c r="F425" s="24" t="s">
        <v>71</v>
      </c>
      <c r="G425" s="25">
        <f>' первое чтение вед стр-ра'!G181+' первое чтение вед стр-ра'!G190</f>
        <v>2.9000000000000004</v>
      </c>
      <c r="H425" s="25">
        <f>' первое чтение вед стр-ра'!H181+' первое чтение вед стр-ра'!H190</f>
        <v>2.9000000000000004</v>
      </c>
      <c r="I425" s="25">
        <f>' первое чтение вед стр-ра'!I181+' первое чтение вед стр-ра'!I190</f>
        <v>2.9000000000000004</v>
      </c>
    </row>
    <row r="426" spans="1:16" ht="38.25" x14ac:dyDescent="0.2">
      <c r="A426" s="18" t="s">
        <v>302</v>
      </c>
      <c r="B426" s="19">
        <v>99</v>
      </c>
      <c r="C426" s="19">
        <v>0</v>
      </c>
      <c r="D426" s="19" t="s">
        <v>352</v>
      </c>
      <c r="E426" s="19" t="s">
        <v>354</v>
      </c>
      <c r="F426" s="19"/>
      <c r="G426" s="20">
        <f>G427</f>
        <v>17</v>
      </c>
      <c r="H426" s="20">
        <f>H427</f>
        <v>18</v>
      </c>
      <c r="I426" s="20">
        <f>I427</f>
        <v>145</v>
      </c>
    </row>
    <row r="427" spans="1:16" ht="25.5" x14ac:dyDescent="0.2">
      <c r="A427" s="30" t="s">
        <v>355</v>
      </c>
      <c r="B427" s="24">
        <v>99</v>
      </c>
      <c r="C427" s="24">
        <v>0</v>
      </c>
      <c r="D427" s="24" t="s">
        <v>352</v>
      </c>
      <c r="E427" s="24" t="s">
        <v>354</v>
      </c>
      <c r="F427" s="27" t="s">
        <v>66</v>
      </c>
      <c r="G427" s="25">
        <f>' первое чтение вед стр-ра'!G33</f>
        <v>17</v>
      </c>
      <c r="H427" s="25">
        <f>' первое чтение вед стр-ра'!H33</f>
        <v>18</v>
      </c>
      <c r="I427" s="25">
        <f>' первое чтение вед стр-ра'!I33</f>
        <v>145</v>
      </c>
    </row>
    <row r="428" spans="1:16" x14ac:dyDescent="0.2">
      <c r="A428" s="18" t="s">
        <v>298</v>
      </c>
      <c r="B428" s="122">
        <v>99</v>
      </c>
      <c r="C428" s="19" t="s">
        <v>353</v>
      </c>
      <c r="D428" s="19" t="s">
        <v>352</v>
      </c>
      <c r="E428" s="19" t="s">
        <v>351</v>
      </c>
      <c r="F428" s="19"/>
      <c r="G428" s="20"/>
      <c r="H428" s="20">
        <f t="shared" ref="H428:I430" si="72">H429</f>
        <v>23132.9</v>
      </c>
      <c r="I428" s="20">
        <f t="shared" si="72"/>
        <v>44191.199999999997</v>
      </c>
    </row>
    <row r="429" spans="1:16" x14ac:dyDescent="0.2">
      <c r="A429" s="18" t="s">
        <v>298</v>
      </c>
      <c r="B429" s="122">
        <v>99</v>
      </c>
      <c r="C429" s="19" t="s">
        <v>353</v>
      </c>
      <c r="D429" s="19" t="s">
        <v>352</v>
      </c>
      <c r="E429" s="19" t="s">
        <v>351</v>
      </c>
      <c r="F429" s="19"/>
      <c r="G429" s="20"/>
      <c r="H429" s="20">
        <f t="shared" si="72"/>
        <v>23132.9</v>
      </c>
      <c r="I429" s="20">
        <f t="shared" si="72"/>
        <v>44191.199999999997</v>
      </c>
    </row>
    <row r="430" spans="1:16" x14ac:dyDescent="0.2">
      <c r="A430" s="18" t="s">
        <v>298</v>
      </c>
      <c r="B430" s="122">
        <v>99</v>
      </c>
      <c r="C430" s="19" t="s">
        <v>353</v>
      </c>
      <c r="D430" s="19" t="s">
        <v>352</v>
      </c>
      <c r="E430" s="19" t="s">
        <v>351</v>
      </c>
      <c r="F430" s="19"/>
      <c r="G430" s="20"/>
      <c r="H430" s="20">
        <f t="shared" si="72"/>
        <v>23132.9</v>
      </c>
      <c r="I430" s="20">
        <f t="shared" si="72"/>
        <v>44191.199999999997</v>
      </c>
    </row>
    <row r="431" spans="1:16" s="26" customFormat="1" x14ac:dyDescent="0.2">
      <c r="A431" s="28" t="s">
        <v>298</v>
      </c>
      <c r="B431" s="122">
        <v>99</v>
      </c>
      <c r="C431" s="19" t="s">
        <v>353</v>
      </c>
      <c r="D431" s="19" t="s">
        <v>352</v>
      </c>
      <c r="E431" s="19" t="s">
        <v>351</v>
      </c>
      <c r="F431" s="24" t="s">
        <v>71</v>
      </c>
      <c r="G431" s="25"/>
      <c r="H431" s="25">
        <f>' первое чтение вед стр-ра'!H116</f>
        <v>23132.9</v>
      </c>
      <c r="I431" s="25">
        <f>' первое чтение вед стр-ра'!I116</f>
        <v>44191.199999999997</v>
      </c>
      <c r="K431" s="21"/>
      <c r="L431" s="21"/>
      <c r="M431" s="21"/>
      <c r="N431" s="21"/>
      <c r="O431" s="21"/>
      <c r="P431" s="21"/>
    </row>
    <row r="432" spans="1:16" ht="15.75" x14ac:dyDescent="0.25">
      <c r="A432" s="121" t="s">
        <v>350</v>
      </c>
      <c r="B432" s="120"/>
      <c r="C432" s="119"/>
      <c r="D432" s="120"/>
      <c r="E432" s="119"/>
      <c r="F432" s="119"/>
      <c r="G432" s="118">
        <f>SUM(G385,G414,G357,G334,G317,G250,G232,G121,G85,G67,G45,G9,G391,G388)+G396+G401</f>
        <v>2592433.1000000006</v>
      </c>
      <c r="H432" s="118">
        <f>SUM(H385,H414,H357,H334,H317,H250,H232,H121,H85,H67,H45,H9,H391,H388)+H396+H401</f>
        <v>2211944.6000000006</v>
      </c>
      <c r="I432" s="118">
        <f>SUM(I385,I414,I357,I334,I317,I250,I232,I121,I85,I67,I45,I9,I391,I388)+I396+I401</f>
        <v>2181581.0000000009</v>
      </c>
    </row>
    <row r="433" spans="1:9" ht="12" customHeight="1" x14ac:dyDescent="0.2">
      <c r="B433" s="167"/>
      <c r="C433" s="21"/>
      <c r="D433" s="167"/>
      <c r="E433" s="21"/>
      <c r="F433" s="21"/>
      <c r="G433" s="168"/>
      <c r="H433" s="168"/>
      <c r="I433" s="168"/>
    </row>
    <row r="434" spans="1:9" x14ac:dyDescent="0.2">
      <c r="B434" s="167"/>
      <c r="C434" s="21"/>
      <c r="D434" s="167"/>
      <c r="E434" s="21"/>
      <c r="F434" s="21"/>
      <c r="G434" s="168"/>
      <c r="H434" s="168"/>
      <c r="I434" s="168"/>
    </row>
    <row r="435" spans="1:9" x14ac:dyDescent="0.2">
      <c r="B435" s="167"/>
      <c r="C435" s="21"/>
      <c r="D435" s="167"/>
      <c r="E435" s="21"/>
      <c r="F435" s="21"/>
      <c r="G435" s="168"/>
      <c r="H435" s="168"/>
      <c r="I435" s="168"/>
    </row>
    <row r="436" spans="1:9" s="194" customFormat="1" ht="24" customHeight="1" x14ac:dyDescent="0.2">
      <c r="A436" s="113" t="s">
        <v>62</v>
      </c>
      <c r="B436" s="221"/>
      <c r="C436" s="221"/>
      <c r="D436" s="221"/>
      <c r="E436" s="221"/>
      <c r="F436" s="112"/>
      <c r="G436" s="114"/>
      <c r="H436" s="114"/>
      <c r="I436" s="115" t="s">
        <v>575</v>
      </c>
    </row>
    <row r="437" spans="1:9" ht="3.75" customHeight="1" x14ac:dyDescent="0.2">
      <c r="B437" s="167"/>
      <c r="C437" s="21"/>
      <c r="D437" s="167"/>
      <c r="E437" s="21"/>
      <c r="F437" s="21"/>
      <c r="G437" s="21"/>
    </row>
    <row r="438" spans="1:9" x14ac:dyDescent="0.2">
      <c r="B438" s="167"/>
      <c r="C438" s="21"/>
      <c r="D438" s="167"/>
      <c r="E438" s="21"/>
      <c r="F438" s="21"/>
      <c r="G438" s="169">
        <f>G432-' первое чтение вед стр-ра'!G513</f>
        <v>0</v>
      </c>
      <c r="H438" s="169">
        <f>H432-' первое чтение вед стр-ра'!H513</f>
        <v>0</v>
      </c>
      <c r="I438" s="169">
        <f>I432-' первое чтение вед стр-ра'!I513</f>
        <v>0</v>
      </c>
    </row>
    <row r="439" spans="1:9" x14ac:dyDescent="0.2">
      <c r="B439" s="167"/>
      <c r="C439" s="21"/>
      <c r="D439" s="167"/>
      <c r="E439" s="21"/>
      <c r="F439" s="21"/>
      <c r="G439" s="168"/>
      <c r="H439" s="168"/>
      <c r="I439" s="168"/>
    </row>
    <row r="440" spans="1:9" x14ac:dyDescent="0.2">
      <c r="B440" s="167"/>
      <c r="C440" s="21"/>
      <c r="D440" s="167"/>
      <c r="E440" s="21"/>
      <c r="F440" s="21"/>
      <c r="G440" s="168"/>
      <c r="H440" s="168"/>
      <c r="I440" s="168"/>
    </row>
    <row r="441" spans="1:9" x14ac:dyDescent="0.2">
      <c r="B441" s="167"/>
      <c r="C441" s="21"/>
      <c r="D441" s="167"/>
      <c r="E441" s="21"/>
      <c r="F441" s="21"/>
      <c r="G441" s="21"/>
    </row>
    <row r="442" spans="1:9" x14ac:dyDescent="0.2">
      <c r="B442" s="167"/>
      <c r="C442" s="21"/>
      <c r="D442" s="167"/>
      <c r="E442" s="21"/>
      <c r="F442" s="21"/>
      <c r="G442" s="168"/>
      <c r="H442" s="168"/>
      <c r="I442" s="168"/>
    </row>
    <row r="443" spans="1:9" x14ac:dyDescent="0.2">
      <c r="B443" s="167"/>
      <c r="C443" s="21"/>
      <c r="D443" s="167"/>
      <c r="E443" s="21"/>
      <c r="F443" s="21"/>
      <c r="G443" s="21"/>
    </row>
    <row r="444" spans="1:9" x14ac:dyDescent="0.2">
      <c r="B444" s="167"/>
      <c r="C444" s="21"/>
      <c r="D444" s="167"/>
      <c r="E444" s="21"/>
      <c r="F444" s="21"/>
      <c r="G444" s="168"/>
      <c r="H444" s="168"/>
      <c r="I444" s="168"/>
    </row>
    <row r="445" spans="1:9" x14ac:dyDescent="0.2">
      <c r="B445" s="167"/>
      <c r="C445" s="21"/>
      <c r="D445" s="167"/>
      <c r="E445" s="21"/>
      <c r="F445" s="21"/>
      <c r="G445" s="21"/>
    </row>
    <row r="446" spans="1:9" x14ac:dyDescent="0.2">
      <c r="B446" s="167"/>
      <c r="C446" s="21"/>
      <c r="D446" s="167"/>
      <c r="E446" s="21"/>
      <c r="F446" s="21"/>
      <c r="G446" s="21"/>
    </row>
    <row r="447" spans="1:9" x14ac:dyDescent="0.2">
      <c r="B447" s="167"/>
      <c r="C447" s="21"/>
      <c r="D447" s="167"/>
      <c r="E447" s="21"/>
      <c r="F447" s="21"/>
      <c r="G447" s="21"/>
    </row>
    <row r="448" spans="1:9" x14ac:dyDescent="0.2">
      <c r="B448" s="167"/>
      <c r="C448" s="21"/>
      <c r="D448" s="167"/>
      <c r="E448" s="21"/>
      <c r="F448" s="21"/>
      <c r="G448" s="21"/>
    </row>
    <row r="449" spans="2:7" x14ac:dyDescent="0.2">
      <c r="B449" s="167"/>
      <c r="C449" s="21"/>
      <c r="D449" s="167"/>
      <c r="E449" s="21"/>
      <c r="F449" s="21"/>
      <c r="G449" s="21"/>
    </row>
    <row r="450" spans="2:7" x14ac:dyDescent="0.2">
      <c r="B450" s="167"/>
      <c r="C450" s="21"/>
      <c r="D450" s="167"/>
      <c r="E450" s="21"/>
      <c r="F450" s="21"/>
      <c r="G450" s="21"/>
    </row>
    <row r="451" spans="2:7" x14ac:dyDescent="0.2">
      <c r="B451" s="167"/>
      <c r="C451" s="21"/>
      <c r="D451" s="167"/>
      <c r="E451" s="21"/>
      <c r="F451" s="21"/>
      <c r="G451" s="21"/>
    </row>
    <row r="452" spans="2:7" x14ac:dyDescent="0.2">
      <c r="B452" s="167"/>
      <c r="C452" s="21"/>
      <c r="D452" s="167"/>
      <c r="E452" s="21"/>
      <c r="F452" s="21"/>
      <c r="G452" s="21"/>
    </row>
    <row r="453" spans="2:7" x14ac:dyDescent="0.2">
      <c r="B453" s="167"/>
      <c r="C453" s="21"/>
      <c r="D453" s="167"/>
      <c r="E453" s="21"/>
      <c r="F453" s="21"/>
      <c r="G453" s="21"/>
    </row>
    <row r="454" spans="2:7" x14ac:dyDescent="0.2">
      <c r="B454" s="167"/>
      <c r="C454" s="21"/>
      <c r="D454" s="167"/>
      <c r="E454" s="21"/>
      <c r="F454" s="21"/>
      <c r="G454" s="21"/>
    </row>
    <row r="455" spans="2:7" x14ac:dyDescent="0.2">
      <c r="B455" s="167"/>
      <c r="C455" s="21"/>
      <c r="D455" s="167"/>
      <c r="E455" s="21"/>
      <c r="F455" s="21"/>
      <c r="G455" s="21"/>
    </row>
    <row r="456" spans="2:7" x14ac:dyDescent="0.2">
      <c r="B456" s="167"/>
      <c r="C456" s="21"/>
      <c r="D456" s="167"/>
      <c r="E456" s="21"/>
      <c r="F456" s="21"/>
      <c r="G456" s="21"/>
    </row>
    <row r="457" spans="2:7" x14ac:dyDescent="0.2">
      <c r="B457" s="167"/>
      <c r="C457" s="21"/>
      <c r="D457" s="167"/>
      <c r="E457" s="21"/>
      <c r="F457" s="21"/>
      <c r="G457" s="21"/>
    </row>
    <row r="458" spans="2:7" x14ac:dyDescent="0.2">
      <c r="B458" s="167"/>
      <c r="C458" s="21"/>
      <c r="D458" s="167"/>
      <c r="E458" s="21"/>
      <c r="F458" s="21"/>
      <c r="G458" s="21"/>
    </row>
    <row r="459" spans="2:7" x14ac:dyDescent="0.2">
      <c r="B459" s="167"/>
      <c r="C459" s="21"/>
      <c r="D459" s="167"/>
      <c r="E459" s="21"/>
      <c r="F459" s="21"/>
      <c r="G459" s="21"/>
    </row>
    <row r="460" spans="2:7" x14ac:dyDescent="0.2">
      <c r="B460" s="167"/>
      <c r="C460" s="21"/>
      <c r="D460" s="167"/>
      <c r="E460" s="21"/>
      <c r="F460" s="21"/>
      <c r="G460" s="21"/>
    </row>
    <row r="461" spans="2:7" x14ac:dyDescent="0.2">
      <c r="B461" s="167"/>
      <c r="C461" s="21"/>
      <c r="D461" s="167"/>
      <c r="E461" s="21"/>
      <c r="F461" s="21"/>
      <c r="G461" s="21"/>
    </row>
    <row r="462" spans="2:7" x14ac:dyDescent="0.2">
      <c r="B462" s="167"/>
      <c r="C462" s="21"/>
      <c r="D462" s="167"/>
      <c r="E462" s="21"/>
      <c r="F462" s="21"/>
      <c r="G462" s="21"/>
    </row>
    <row r="463" spans="2:7" x14ac:dyDescent="0.2">
      <c r="B463" s="167"/>
      <c r="C463" s="21"/>
      <c r="D463" s="167"/>
      <c r="E463" s="21"/>
      <c r="F463" s="21"/>
      <c r="G463" s="21"/>
    </row>
    <row r="464" spans="2:7" x14ac:dyDescent="0.2">
      <c r="B464" s="167"/>
      <c r="C464" s="21"/>
      <c r="D464" s="167"/>
      <c r="E464" s="21"/>
      <c r="F464" s="21"/>
      <c r="G464" s="21"/>
    </row>
    <row r="465" spans="2:7" x14ac:dyDescent="0.2">
      <c r="B465" s="167"/>
      <c r="C465" s="21"/>
      <c r="D465" s="167"/>
      <c r="E465" s="21"/>
      <c r="F465" s="21"/>
      <c r="G465" s="21"/>
    </row>
    <row r="466" spans="2:7" x14ac:dyDescent="0.2">
      <c r="B466" s="167"/>
      <c r="C466" s="21"/>
      <c r="D466" s="167"/>
      <c r="E466" s="21"/>
      <c r="F466" s="21"/>
      <c r="G466" s="21"/>
    </row>
    <row r="467" spans="2:7" x14ac:dyDescent="0.2">
      <c r="B467" s="167"/>
      <c r="C467" s="21"/>
      <c r="D467" s="167"/>
      <c r="E467" s="21"/>
      <c r="F467" s="21"/>
      <c r="G467" s="21"/>
    </row>
    <row r="468" spans="2:7" x14ac:dyDescent="0.2">
      <c r="B468" s="167"/>
      <c r="C468" s="21"/>
      <c r="D468" s="167"/>
      <c r="E468" s="21"/>
      <c r="F468" s="21"/>
      <c r="G468" s="21"/>
    </row>
    <row r="469" spans="2:7" x14ac:dyDescent="0.2">
      <c r="B469" s="167"/>
      <c r="C469" s="21"/>
      <c r="D469" s="167"/>
      <c r="E469" s="21"/>
      <c r="F469" s="21"/>
      <c r="G469" s="21"/>
    </row>
    <row r="470" spans="2:7" x14ac:dyDescent="0.2">
      <c r="B470" s="167"/>
      <c r="C470" s="21"/>
      <c r="D470" s="167"/>
      <c r="E470" s="21"/>
      <c r="F470" s="21"/>
      <c r="G470" s="21"/>
    </row>
    <row r="471" spans="2:7" x14ac:dyDescent="0.2">
      <c r="B471" s="167"/>
      <c r="C471" s="21"/>
      <c r="D471" s="167"/>
      <c r="E471" s="21"/>
      <c r="F471" s="21"/>
      <c r="G471" s="21"/>
    </row>
    <row r="472" spans="2:7" x14ac:dyDescent="0.2">
      <c r="B472" s="167"/>
      <c r="C472" s="21"/>
      <c r="D472" s="167"/>
      <c r="E472" s="21"/>
      <c r="F472" s="21"/>
      <c r="G472" s="21"/>
    </row>
    <row r="473" spans="2:7" x14ac:dyDescent="0.2">
      <c r="B473" s="167"/>
      <c r="C473" s="21"/>
      <c r="D473" s="167"/>
      <c r="E473" s="21"/>
      <c r="F473" s="21"/>
      <c r="G473" s="21"/>
    </row>
    <row r="474" spans="2:7" x14ac:dyDescent="0.2">
      <c r="B474" s="167"/>
      <c r="C474" s="21"/>
      <c r="D474" s="167"/>
      <c r="E474" s="21"/>
      <c r="F474" s="21"/>
      <c r="G474" s="21"/>
    </row>
    <row r="475" spans="2:7" x14ac:dyDescent="0.2">
      <c r="B475" s="167"/>
      <c r="C475" s="21"/>
      <c r="D475" s="167"/>
      <c r="E475" s="21"/>
      <c r="F475" s="21"/>
      <c r="G475" s="21"/>
    </row>
    <row r="476" spans="2:7" x14ac:dyDescent="0.2">
      <c r="B476" s="167"/>
      <c r="C476" s="21"/>
      <c r="D476" s="167"/>
      <c r="E476" s="21"/>
      <c r="F476" s="21"/>
      <c r="G476" s="21"/>
    </row>
  </sheetData>
  <mergeCells count="5">
    <mergeCell ref="A5:I5"/>
    <mergeCell ref="A6:G6"/>
    <mergeCell ref="A1:I1"/>
    <mergeCell ref="A2:I2"/>
    <mergeCell ref="A3:I3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6"/>
  <sheetViews>
    <sheetView zoomScaleNormal="100" workbookViewId="0">
      <selection activeCell="K11" sqref="K11"/>
    </sheetView>
  </sheetViews>
  <sheetFormatPr defaultRowHeight="12.75" x14ac:dyDescent="0.2"/>
  <cols>
    <col min="1" max="1" width="61.140625" style="194" customWidth="1"/>
    <col min="2" max="2" width="4.85546875" style="195" customWidth="1"/>
    <col min="3" max="3" width="6.140625" style="195" customWidth="1"/>
    <col min="4" max="4" width="16.85546875" style="195" customWidth="1"/>
    <col min="5" max="5" width="5.85546875" style="195" customWidth="1"/>
    <col min="6" max="6" width="16.7109375" style="195" customWidth="1"/>
    <col min="7" max="7" width="14.85546875" style="195" customWidth="1"/>
    <col min="8" max="8" width="16.85546875" style="195" customWidth="1"/>
    <col min="9" max="16384" width="9.140625" style="194"/>
  </cols>
  <sheetData>
    <row r="1" spans="1:8" ht="14.25" customHeight="1" x14ac:dyDescent="0.3">
      <c r="A1" s="235" t="s">
        <v>349</v>
      </c>
      <c r="B1" s="235" t="s">
        <v>527</v>
      </c>
      <c r="C1" s="235" t="s">
        <v>527</v>
      </c>
      <c r="D1" s="235" t="s">
        <v>527</v>
      </c>
      <c r="E1" s="235" t="s">
        <v>527</v>
      </c>
      <c r="F1" s="235" t="s">
        <v>527</v>
      </c>
      <c r="G1" s="235" t="s">
        <v>527</v>
      </c>
      <c r="H1" s="235" t="s">
        <v>527</v>
      </c>
    </row>
    <row r="2" spans="1:8" ht="14.25" customHeight="1" x14ac:dyDescent="0.3">
      <c r="A2" s="235" t="s">
        <v>76</v>
      </c>
      <c r="B2" s="235" t="s">
        <v>76</v>
      </c>
      <c r="C2" s="235" t="s">
        <v>76</v>
      </c>
      <c r="D2" s="235" t="s">
        <v>76</v>
      </c>
      <c r="E2" s="235" t="s">
        <v>76</v>
      </c>
      <c r="F2" s="235" t="s">
        <v>76</v>
      </c>
      <c r="G2" s="235" t="s">
        <v>76</v>
      </c>
      <c r="H2" s="235" t="s">
        <v>76</v>
      </c>
    </row>
    <row r="3" spans="1:8" ht="14.25" customHeight="1" x14ac:dyDescent="0.3">
      <c r="A3" s="235" t="s">
        <v>538</v>
      </c>
      <c r="B3" s="235" t="s">
        <v>528</v>
      </c>
      <c r="C3" s="235" t="s">
        <v>528</v>
      </c>
      <c r="D3" s="235" t="s">
        <v>528</v>
      </c>
      <c r="E3" s="235" t="s">
        <v>528</v>
      </c>
      <c r="F3" s="235" t="s">
        <v>528</v>
      </c>
      <c r="G3" s="235" t="s">
        <v>528</v>
      </c>
      <c r="H3" s="235" t="s">
        <v>528</v>
      </c>
    </row>
    <row r="5" spans="1:8" s="159" customFormat="1" ht="75" customHeight="1" x14ac:dyDescent="0.2">
      <c r="A5" s="236" t="s">
        <v>613</v>
      </c>
      <c r="B5" s="236"/>
      <c r="C5" s="236"/>
      <c r="D5" s="236"/>
      <c r="E5" s="236"/>
      <c r="F5" s="236"/>
      <c r="G5" s="236"/>
      <c r="H5" s="236"/>
    </row>
    <row r="6" spans="1:8" s="159" customFormat="1" ht="9.75" customHeight="1" x14ac:dyDescent="0.2">
      <c r="A6" s="236"/>
      <c r="B6" s="236"/>
      <c r="C6" s="236"/>
      <c r="D6" s="236"/>
      <c r="E6" s="236"/>
      <c r="F6" s="236"/>
    </row>
    <row r="7" spans="1:8" s="160" customFormat="1" ht="12" thickBot="1" x14ac:dyDescent="0.25">
      <c r="A7" s="238"/>
      <c r="B7" s="238"/>
      <c r="C7" s="238"/>
      <c r="D7" s="238"/>
      <c r="E7" s="238"/>
      <c r="F7" s="238"/>
      <c r="H7" s="184" t="s">
        <v>60</v>
      </c>
    </row>
    <row r="8" spans="1:8" ht="43.5" x14ac:dyDescent="0.2">
      <c r="A8" s="185"/>
      <c r="B8" s="186" t="s">
        <v>7</v>
      </c>
      <c r="C8" s="186" t="s">
        <v>529</v>
      </c>
      <c r="D8" s="186" t="s">
        <v>9</v>
      </c>
      <c r="E8" s="186" t="s">
        <v>10</v>
      </c>
      <c r="F8" s="187" t="s">
        <v>297</v>
      </c>
      <c r="G8" s="187" t="s">
        <v>320</v>
      </c>
      <c r="H8" s="187" t="s">
        <v>577</v>
      </c>
    </row>
    <row r="9" spans="1:8" s="174" customFormat="1" ht="12" x14ac:dyDescent="0.2">
      <c r="A9" s="171">
        <v>1</v>
      </c>
      <c r="B9" s="172">
        <v>2</v>
      </c>
      <c r="C9" s="172">
        <v>3</v>
      </c>
      <c r="D9" s="172">
        <v>4</v>
      </c>
      <c r="E9" s="172">
        <v>5</v>
      </c>
      <c r="F9" s="173">
        <v>6</v>
      </c>
      <c r="G9" s="173">
        <v>7</v>
      </c>
      <c r="H9" s="173">
        <v>8</v>
      </c>
    </row>
    <row r="10" spans="1:8" s="134" customFormat="1" ht="15.75" customHeight="1" x14ac:dyDescent="0.25">
      <c r="A10" s="121" t="s">
        <v>58</v>
      </c>
      <c r="B10" s="120" t="s">
        <v>11</v>
      </c>
      <c r="C10" s="120" t="s">
        <v>352</v>
      </c>
      <c r="D10" s="120"/>
      <c r="E10" s="120"/>
      <c r="F10" s="175">
        <f>F11+F14+F24+F43+F50+F53+F40</f>
        <v>126242.29999999999</v>
      </c>
      <c r="G10" s="175">
        <f>G11+G14+G24+G43+G50+G53+G40</f>
        <v>94380.7</v>
      </c>
      <c r="H10" s="175">
        <f>H11+H14+H24+H43+H50+H53+H40</f>
        <v>93102.199999999983</v>
      </c>
    </row>
    <row r="11" spans="1:8" s="66" customFormat="1" ht="25.5" customHeight="1" x14ac:dyDescent="0.2">
      <c r="A11" s="62" t="s">
        <v>12</v>
      </c>
      <c r="B11" s="64" t="s">
        <v>11</v>
      </c>
      <c r="C11" s="64" t="s">
        <v>13</v>
      </c>
      <c r="D11" s="64"/>
      <c r="E11" s="64"/>
      <c r="F11" s="65">
        <f t="shared" ref="F11:H12" si="0">F12</f>
        <v>2391.9</v>
      </c>
      <c r="G11" s="65">
        <f t="shared" si="0"/>
        <v>2191.9</v>
      </c>
      <c r="H11" s="65">
        <f t="shared" si="0"/>
        <v>2191.9</v>
      </c>
    </row>
    <row r="12" spans="1:8" s="71" customFormat="1" ht="25.5" customHeight="1" x14ac:dyDescent="0.2">
      <c r="A12" s="67" t="s">
        <v>280</v>
      </c>
      <c r="B12" s="69" t="s">
        <v>11</v>
      </c>
      <c r="C12" s="69" t="s">
        <v>13</v>
      </c>
      <c r="D12" s="69" t="s">
        <v>120</v>
      </c>
      <c r="E12" s="69"/>
      <c r="F12" s="70">
        <f>F13</f>
        <v>2391.9</v>
      </c>
      <c r="G12" s="70">
        <f t="shared" si="0"/>
        <v>2191.9</v>
      </c>
      <c r="H12" s="70">
        <f t="shared" si="0"/>
        <v>2191.9</v>
      </c>
    </row>
    <row r="13" spans="1:8" s="76" customFormat="1" ht="51" customHeight="1" x14ac:dyDescent="0.2">
      <c r="A13" s="72" t="s">
        <v>64</v>
      </c>
      <c r="B13" s="74" t="s">
        <v>11</v>
      </c>
      <c r="C13" s="74" t="s">
        <v>13</v>
      </c>
      <c r="D13" s="74" t="s">
        <v>120</v>
      </c>
      <c r="E13" s="75" t="s">
        <v>65</v>
      </c>
      <c r="F13" s="54">
        <f>' первое чтение вед стр-ра'!G14</f>
        <v>2391.9</v>
      </c>
      <c r="G13" s="54">
        <f>' первое чтение вед стр-ра'!H14</f>
        <v>2191.9</v>
      </c>
      <c r="H13" s="54">
        <f>' первое чтение вед стр-ра'!I14</f>
        <v>2191.9</v>
      </c>
    </row>
    <row r="14" spans="1:8" s="26" customFormat="1" ht="38.25" customHeight="1" x14ac:dyDescent="0.2">
      <c r="A14" s="11" t="s">
        <v>14</v>
      </c>
      <c r="B14" s="8" t="s">
        <v>11</v>
      </c>
      <c r="C14" s="8" t="s">
        <v>15</v>
      </c>
      <c r="D14" s="8"/>
      <c r="E14" s="8"/>
      <c r="F14" s="4">
        <f>SUM(F15,F19,F22)</f>
        <v>8549.9</v>
      </c>
      <c r="G14" s="4">
        <f t="shared" ref="G14:H14" si="1">SUM(G15,G19,G22)</f>
        <v>8549.9</v>
      </c>
      <c r="H14" s="4">
        <f t="shared" si="1"/>
        <v>8549.9</v>
      </c>
    </row>
    <row r="15" spans="1:8" s="21" customFormat="1" ht="12.75" customHeight="1" x14ac:dyDescent="0.2">
      <c r="A15" s="18" t="s">
        <v>187</v>
      </c>
      <c r="B15" s="19" t="s">
        <v>11</v>
      </c>
      <c r="C15" s="19" t="s">
        <v>15</v>
      </c>
      <c r="D15" s="19" t="s">
        <v>186</v>
      </c>
      <c r="E15" s="19"/>
      <c r="F15" s="20">
        <f>F16+F17+F18</f>
        <v>3538.2</v>
      </c>
      <c r="G15" s="20">
        <f>G16+G17+G18</f>
        <v>3538.2</v>
      </c>
      <c r="H15" s="20">
        <f>H16+H17+H18</f>
        <v>3538.2</v>
      </c>
    </row>
    <row r="16" spans="1:8" s="26" customFormat="1" ht="51" customHeight="1" x14ac:dyDescent="0.2">
      <c r="A16" s="30" t="s">
        <v>64</v>
      </c>
      <c r="B16" s="24" t="s">
        <v>11</v>
      </c>
      <c r="C16" s="24" t="s">
        <v>15</v>
      </c>
      <c r="D16" s="24" t="s">
        <v>186</v>
      </c>
      <c r="E16" s="27" t="s">
        <v>65</v>
      </c>
      <c r="F16" s="25">
        <f>' первое чтение вед стр-ра'!G188</f>
        <v>3115.7</v>
      </c>
      <c r="G16" s="25">
        <f>' первое чтение вед стр-ра'!H188</f>
        <v>3115.7</v>
      </c>
      <c r="H16" s="25">
        <f>' первое чтение вед стр-ра'!I188</f>
        <v>3115.7</v>
      </c>
    </row>
    <row r="17" spans="1:8" s="9" customFormat="1" ht="25.5" customHeight="1" x14ac:dyDescent="0.2">
      <c r="A17" s="28" t="s">
        <v>74</v>
      </c>
      <c r="B17" s="24" t="s">
        <v>11</v>
      </c>
      <c r="C17" s="24" t="s">
        <v>15</v>
      </c>
      <c r="D17" s="24" t="s">
        <v>186</v>
      </c>
      <c r="E17" s="27" t="s">
        <v>66</v>
      </c>
      <c r="F17" s="25">
        <f>' первое чтение вед стр-ра'!G189</f>
        <v>420.4</v>
      </c>
      <c r="G17" s="25">
        <f>' первое чтение вед стр-ра'!H189</f>
        <v>420.4</v>
      </c>
      <c r="H17" s="25">
        <f>' первое чтение вед стр-ра'!I189</f>
        <v>420.4</v>
      </c>
    </row>
    <row r="18" spans="1:8" s="21" customFormat="1" ht="12.75" customHeight="1" x14ac:dyDescent="0.2">
      <c r="A18" s="28" t="s">
        <v>70</v>
      </c>
      <c r="B18" s="24" t="s">
        <v>11</v>
      </c>
      <c r="C18" s="24" t="s">
        <v>15</v>
      </c>
      <c r="D18" s="24" t="s">
        <v>186</v>
      </c>
      <c r="E18" s="24" t="s">
        <v>71</v>
      </c>
      <c r="F18" s="25">
        <f>' первое чтение вед стр-ра'!G190</f>
        <v>2.1</v>
      </c>
      <c r="G18" s="25">
        <f>' первое чтение вед стр-ра'!H190</f>
        <v>2.1</v>
      </c>
      <c r="H18" s="25">
        <f>' первое чтение вед стр-ра'!I190</f>
        <v>2.1</v>
      </c>
    </row>
    <row r="19" spans="1:8" s="26" customFormat="1" ht="25.5" customHeight="1" x14ac:dyDescent="0.2">
      <c r="A19" s="18" t="s">
        <v>190</v>
      </c>
      <c r="B19" s="19" t="s">
        <v>11</v>
      </c>
      <c r="C19" s="19" t="s">
        <v>15</v>
      </c>
      <c r="D19" s="19" t="s">
        <v>192</v>
      </c>
      <c r="E19" s="19"/>
      <c r="F19" s="20">
        <f>F20+F21</f>
        <v>1895</v>
      </c>
      <c r="G19" s="20">
        <f t="shared" ref="G19:H19" si="2">G20+G21</f>
        <v>1895</v>
      </c>
      <c r="H19" s="20">
        <f t="shared" si="2"/>
        <v>1895</v>
      </c>
    </row>
    <row r="20" spans="1:8" s="12" customFormat="1" ht="51" customHeight="1" x14ac:dyDescent="0.2">
      <c r="A20" s="30" t="s">
        <v>64</v>
      </c>
      <c r="B20" s="24" t="s">
        <v>11</v>
      </c>
      <c r="C20" s="24" t="s">
        <v>15</v>
      </c>
      <c r="D20" s="24" t="s">
        <v>192</v>
      </c>
      <c r="E20" s="27" t="s">
        <v>65</v>
      </c>
      <c r="F20" s="25">
        <f>' первое чтение вед стр-ра'!G192</f>
        <v>1880</v>
      </c>
      <c r="G20" s="25">
        <f>' первое чтение вед стр-ра'!H192</f>
        <v>1880</v>
      </c>
      <c r="H20" s="25">
        <f>' первое чтение вед стр-ра'!I192</f>
        <v>1880</v>
      </c>
    </row>
    <row r="21" spans="1:8" s="12" customFormat="1" ht="25.5" customHeight="1" x14ac:dyDescent="0.2">
      <c r="A21" s="28" t="s">
        <v>74</v>
      </c>
      <c r="B21" s="24" t="s">
        <v>11</v>
      </c>
      <c r="C21" s="24" t="s">
        <v>15</v>
      </c>
      <c r="D21" s="24" t="s">
        <v>192</v>
      </c>
      <c r="E21" s="27" t="s">
        <v>66</v>
      </c>
      <c r="F21" s="25">
        <f>' первое чтение вед стр-ра'!G193</f>
        <v>15</v>
      </c>
      <c r="G21" s="25">
        <f>' первое чтение вед стр-ра'!H193</f>
        <v>15</v>
      </c>
      <c r="H21" s="25">
        <f>' первое чтение вед стр-ра'!I193</f>
        <v>15</v>
      </c>
    </row>
    <row r="22" spans="1:8" s="111" customFormat="1" ht="12.75" customHeight="1" x14ac:dyDescent="0.2">
      <c r="A22" s="18" t="s">
        <v>191</v>
      </c>
      <c r="B22" s="19" t="s">
        <v>11</v>
      </c>
      <c r="C22" s="19" t="s">
        <v>15</v>
      </c>
      <c r="D22" s="19" t="s">
        <v>193</v>
      </c>
      <c r="E22" s="19"/>
      <c r="F22" s="20">
        <f>F23</f>
        <v>3116.7</v>
      </c>
      <c r="G22" s="20">
        <f>G23</f>
        <v>3116.7</v>
      </c>
      <c r="H22" s="20">
        <f>H23</f>
        <v>3116.7</v>
      </c>
    </row>
    <row r="23" spans="1:8" s="21" customFormat="1" ht="51" customHeight="1" x14ac:dyDescent="0.2">
      <c r="A23" s="30" t="s">
        <v>64</v>
      </c>
      <c r="B23" s="24" t="s">
        <v>11</v>
      </c>
      <c r="C23" s="24" t="s">
        <v>15</v>
      </c>
      <c r="D23" s="24" t="s">
        <v>193</v>
      </c>
      <c r="E23" s="27" t="s">
        <v>65</v>
      </c>
      <c r="F23" s="25">
        <f>' первое чтение вед стр-ра'!G195</f>
        <v>3116.7</v>
      </c>
      <c r="G23" s="25">
        <f>' первое чтение вед стр-ра'!H195</f>
        <v>3116.7</v>
      </c>
      <c r="H23" s="25">
        <f>' первое чтение вед стр-ра'!I195</f>
        <v>3116.7</v>
      </c>
    </row>
    <row r="24" spans="1:8" s="213" customFormat="1" ht="38.25" customHeight="1" x14ac:dyDescent="0.2">
      <c r="A24" s="62" t="s">
        <v>16</v>
      </c>
      <c r="B24" s="64" t="s">
        <v>11</v>
      </c>
      <c r="C24" s="64" t="s">
        <v>17</v>
      </c>
      <c r="D24" s="64"/>
      <c r="E24" s="64"/>
      <c r="F24" s="219">
        <f>SUM(F25,F28,F31,F37)+F35</f>
        <v>66985.7</v>
      </c>
      <c r="G24" s="219">
        <f>SUM(G25,G28,G31,G37)+G35</f>
        <v>51666.7</v>
      </c>
      <c r="H24" s="219">
        <f>SUM(H25,H28,H31,H37)+H35</f>
        <v>50423.299999999996</v>
      </c>
    </row>
    <row r="25" spans="1:8" s="21" customFormat="1" ht="25.5" customHeight="1" x14ac:dyDescent="0.2">
      <c r="A25" s="18" t="s">
        <v>121</v>
      </c>
      <c r="B25" s="19" t="s">
        <v>11</v>
      </c>
      <c r="C25" s="19" t="s">
        <v>17</v>
      </c>
      <c r="D25" s="19" t="s">
        <v>85</v>
      </c>
      <c r="E25" s="19"/>
      <c r="F25" s="20">
        <f>F26+F27</f>
        <v>486.20000000000005</v>
      </c>
      <c r="G25" s="20">
        <f>G26+G27</f>
        <v>486.20000000000005</v>
      </c>
      <c r="H25" s="20">
        <f>H26+H27</f>
        <v>486.20000000000005</v>
      </c>
    </row>
    <row r="26" spans="1:8" s="26" customFormat="1" ht="51" customHeight="1" x14ac:dyDescent="0.2">
      <c r="A26" s="30" t="s">
        <v>64</v>
      </c>
      <c r="B26" s="24" t="s">
        <v>11</v>
      </c>
      <c r="C26" s="24" t="s">
        <v>17</v>
      </c>
      <c r="D26" s="24" t="s">
        <v>85</v>
      </c>
      <c r="E26" s="27" t="s">
        <v>65</v>
      </c>
      <c r="F26" s="25">
        <f>' первое чтение вед стр-ра'!G17</f>
        <v>457.1</v>
      </c>
      <c r="G26" s="25">
        <f>' первое чтение вед стр-ра'!H17</f>
        <v>457.1</v>
      </c>
      <c r="H26" s="25">
        <f>' первое чтение вед стр-ра'!I17</f>
        <v>457.1</v>
      </c>
    </row>
    <row r="27" spans="1:8" s="21" customFormat="1" ht="25.5" customHeight="1" x14ac:dyDescent="0.2">
      <c r="A27" s="28" t="s">
        <v>74</v>
      </c>
      <c r="B27" s="24" t="s">
        <v>11</v>
      </c>
      <c r="C27" s="24" t="s">
        <v>17</v>
      </c>
      <c r="D27" s="24" t="s">
        <v>85</v>
      </c>
      <c r="E27" s="27" t="s">
        <v>66</v>
      </c>
      <c r="F27" s="25">
        <f>' первое чтение вед стр-ра'!G18</f>
        <v>29.1</v>
      </c>
      <c r="G27" s="25">
        <f>' первое чтение вед стр-ра'!H18</f>
        <v>29.1</v>
      </c>
      <c r="H27" s="25">
        <f>' первое чтение вед стр-ра'!I18</f>
        <v>29.1</v>
      </c>
    </row>
    <row r="28" spans="1:8" s="76" customFormat="1" ht="12.75" customHeight="1" x14ac:dyDescent="0.2">
      <c r="A28" s="67" t="s">
        <v>122</v>
      </c>
      <c r="B28" s="69" t="s">
        <v>11</v>
      </c>
      <c r="C28" s="69" t="s">
        <v>17</v>
      </c>
      <c r="D28" s="69" t="s">
        <v>84</v>
      </c>
      <c r="E28" s="69"/>
      <c r="F28" s="70">
        <f>F29+F30</f>
        <v>115.00000000000001</v>
      </c>
      <c r="G28" s="70">
        <f>G29+G30</f>
        <v>115.00000000000001</v>
      </c>
      <c r="H28" s="70">
        <f>H29+H30</f>
        <v>115.00000000000001</v>
      </c>
    </row>
    <row r="29" spans="1:8" s="76" customFormat="1" ht="51" customHeight="1" x14ac:dyDescent="0.2">
      <c r="A29" s="72" t="s">
        <v>64</v>
      </c>
      <c r="B29" s="74" t="s">
        <v>11</v>
      </c>
      <c r="C29" s="74" t="s">
        <v>17</v>
      </c>
      <c r="D29" s="74" t="s">
        <v>84</v>
      </c>
      <c r="E29" s="75" t="s">
        <v>65</v>
      </c>
      <c r="F29" s="54">
        <f>' первое чтение вед стр-ра'!G20</f>
        <v>113.10000000000001</v>
      </c>
      <c r="G29" s="54">
        <f>' первое чтение вед стр-ра'!H20</f>
        <v>113.10000000000001</v>
      </c>
      <c r="H29" s="54">
        <f>' первое чтение вед стр-ра'!I20</f>
        <v>113.10000000000001</v>
      </c>
    </row>
    <row r="30" spans="1:8" s="76" customFormat="1" ht="25.5" customHeight="1" x14ac:dyDescent="0.2">
      <c r="A30" s="77" t="s">
        <v>114</v>
      </c>
      <c r="B30" s="74" t="s">
        <v>11</v>
      </c>
      <c r="C30" s="74" t="s">
        <v>17</v>
      </c>
      <c r="D30" s="74" t="s">
        <v>84</v>
      </c>
      <c r="E30" s="75" t="s">
        <v>66</v>
      </c>
      <c r="F30" s="54">
        <f>' первое чтение вед стр-ра'!G21</f>
        <v>1.9</v>
      </c>
      <c r="G30" s="54">
        <f>' первое чтение вед стр-ра'!H21</f>
        <v>1.9</v>
      </c>
      <c r="H30" s="54">
        <f>' первое чтение вед стр-ра'!I21</f>
        <v>1.9</v>
      </c>
    </row>
    <row r="31" spans="1:8" s="134" customFormat="1" ht="26.25" customHeight="1" x14ac:dyDescent="0.25">
      <c r="A31" s="18" t="s">
        <v>280</v>
      </c>
      <c r="B31" s="19" t="s">
        <v>11</v>
      </c>
      <c r="C31" s="19" t="s">
        <v>17</v>
      </c>
      <c r="D31" s="19" t="s">
        <v>123</v>
      </c>
      <c r="E31" s="19"/>
      <c r="F31" s="20">
        <f>SUM(F32:F34)</f>
        <v>60712.800000000003</v>
      </c>
      <c r="G31" s="20">
        <f>SUM(G32:G34)</f>
        <v>46073.4</v>
      </c>
      <c r="H31" s="20">
        <f>SUM(H32:H34)</f>
        <v>44830</v>
      </c>
    </row>
    <row r="32" spans="1:8" s="66" customFormat="1" ht="51" customHeight="1" x14ac:dyDescent="0.2">
      <c r="A32" s="72" t="s">
        <v>64</v>
      </c>
      <c r="B32" s="74" t="s">
        <v>11</v>
      </c>
      <c r="C32" s="74" t="s">
        <v>17</v>
      </c>
      <c r="D32" s="74" t="s">
        <v>123</v>
      </c>
      <c r="E32" s="75" t="s">
        <v>65</v>
      </c>
      <c r="F32" s="54">
        <f>' первое чтение вед стр-ра'!G23</f>
        <v>41179.300000000003</v>
      </c>
      <c r="G32" s="54">
        <f>' первое чтение вед стр-ра'!H23</f>
        <v>40832.300000000003</v>
      </c>
      <c r="H32" s="54">
        <f>' первое чтение вед стр-ра'!I23</f>
        <v>40832.300000000003</v>
      </c>
    </row>
    <row r="33" spans="1:8" s="21" customFormat="1" ht="25.5" customHeight="1" x14ac:dyDescent="0.2">
      <c r="A33" s="28" t="s">
        <v>74</v>
      </c>
      <c r="B33" s="24" t="s">
        <v>11</v>
      </c>
      <c r="C33" s="24" t="s">
        <v>17</v>
      </c>
      <c r="D33" s="24" t="s">
        <v>123</v>
      </c>
      <c r="E33" s="27" t="s">
        <v>66</v>
      </c>
      <c r="F33" s="54">
        <f>' первое чтение вед стр-ра'!G24</f>
        <v>19271.5</v>
      </c>
      <c r="G33" s="54">
        <f>' первое чтение вед стр-ра'!H24</f>
        <v>5199.1000000000004</v>
      </c>
      <c r="H33" s="54">
        <f>' первое чтение вед стр-ра'!I24</f>
        <v>3955.7</v>
      </c>
    </row>
    <row r="34" spans="1:8" s="26" customFormat="1" ht="12.75" customHeight="1" x14ac:dyDescent="0.2">
      <c r="A34" s="28" t="s">
        <v>70</v>
      </c>
      <c r="B34" s="24" t="s">
        <v>11</v>
      </c>
      <c r="C34" s="24" t="s">
        <v>17</v>
      </c>
      <c r="D34" s="24" t="s">
        <v>123</v>
      </c>
      <c r="E34" s="24" t="s">
        <v>71</v>
      </c>
      <c r="F34" s="54">
        <f>' первое чтение вед стр-ра'!G25</f>
        <v>262</v>
      </c>
      <c r="G34" s="54">
        <f>' первое чтение вед стр-ра'!H25</f>
        <v>42</v>
      </c>
      <c r="H34" s="54">
        <f>' первое чтение вед стр-ра'!I25</f>
        <v>42</v>
      </c>
    </row>
    <row r="35" spans="1:8" s="71" customFormat="1" ht="25.5" customHeight="1" x14ac:dyDescent="0.2">
      <c r="A35" s="81" t="s">
        <v>135</v>
      </c>
      <c r="B35" s="69" t="s">
        <v>11</v>
      </c>
      <c r="C35" s="69" t="s">
        <v>17</v>
      </c>
      <c r="D35" s="69" t="s">
        <v>134</v>
      </c>
      <c r="E35" s="82"/>
      <c r="F35" s="83">
        <f>F36</f>
        <v>300</v>
      </c>
      <c r="G35" s="83">
        <f>G36</f>
        <v>0</v>
      </c>
      <c r="H35" s="83">
        <f>H36</f>
        <v>0</v>
      </c>
    </row>
    <row r="36" spans="1:8" s="71" customFormat="1" ht="25.5" customHeight="1" x14ac:dyDescent="0.2">
      <c r="A36" s="28" t="s">
        <v>74</v>
      </c>
      <c r="B36" s="74" t="s">
        <v>11</v>
      </c>
      <c r="C36" s="74" t="s">
        <v>17</v>
      </c>
      <c r="D36" s="74" t="s">
        <v>134</v>
      </c>
      <c r="E36" s="74" t="s">
        <v>66</v>
      </c>
      <c r="F36" s="54">
        <f>' первое чтение вед стр-ра'!G27</f>
        <v>300</v>
      </c>
      <c r="G36" s="54">
        <f>' первое чтение вед стр-ра'!H27</f>
        <v>0</v>
      </c>
      <c r="H36" s="54">
        <f>' первое чтение вед стр-ра'!I27</f>
        <v>0</v>
      </c>
    </row>
    <row r="37" spans="1:8" s="144" customFormat="1" ht="25.5" customHeight="1" x14ac:dyDescent="0.2">
      <c r="A37" s="18" t="s">
        <v>280</v>
      </c>
      <c r="B37" s="19" t="s">
        <v>11</v>
      </c>
      <c r="C37" s="19" t="s">
        <v>17</v>
      </c>
      <c r="D37" s="19" t="s">
        <v>124</v>
      </c>
      <c r="E37" s="19"/>
      <c r="F37" s="20">
        <f>F38+F39</f>
        <v>5371.7000000000007</v>
      </c>
      <c r="G37" s="20">
        <f>G38+G39</f>
        <v>4992.1000000000004</v>
      </c>
      <c r="H37" s="20">
        <f>H38+H39</f>
        <v>4992.1000000000004</v>
      </c>
    </row>
    <row r="38" spans="1:8" s="9" customFormat="1" ht="51" customHeight="1" x14ac:dyDescent="0.2">
      <c r="A38" s="30" t="s">
        <v>64</v>
      </c>
      <c r="B38" s="24" t="s">
        <v>11</v>
      </c>
      <c r="C38" s="24" t="s">
        <v>17</v>
      </c>
      <c r="D38" s="19" t="s">
        <v>124</v>
      </c>
      <c r="E38" s="27" t="s">
        <v>65</v>
      </c>
      <c r="F38" s="25">
        <f>' первое чтение вед стр-ра'!G29</f>
        <v>4992.1000000000004</v>
      </c>
      <c r="G38" s="25">
        <f>' первое чтение вед стр-ра'!H29</f>
        <v>4992.1000000000004</v>
      </c>
      <c r="H38" s="25">
        <f>' первое чтение вед стр-ра'!I29</f>
        <v>4992.1000000000004</v>
      </c>
    </row>
    <row r="39" spans="1:8" s="71" customFormat="1" ht="25.5" customHeight="1" x14ac:dyDescent="0.2">
      <c r="A39" s="79" t="s">
        <v>74</v>
      </c>
      <c r="B39" s="74" t="s">
        <v>11</v>
      </c>
      <c r="C39" s="74" t="s">
        <v>17</v>
      </c>
      <c r="D39" s="69" t="s">
        <v>124</v>
      </c>
      <c r="E39" s="75" t="s">
        <v>66</v>
      </c>
      <c r="F39" s="25">
        <f>' первое чтение вед стр-ра'!G30</f>
        <v>379.6</v>
      </c>
      <c r="G39" s="25">
        <f>' первое чтение вед стр-ра'!H30</f>
        <v>0</v>
      </c>
      <c r="H39" s="25">
        <f>' первое чтение вед стр-ра'!I30</f>
        <v>0</v>
      </c>
    </row>
    <row r="40" spans="1:8" s="9" customFormat="1" ht="12.75" customHeight="1" x14ac:dyDescent="0.2">
      <c r="A40" s="11" t="s">
        <v>301</v>
      </c>
      <c r="B40" s="8" t="s">
        <v>11</v>
      </c>
      <c r="C40" s="8" t="s">
        <v>29</v>
      </c>
      <c r="D40" s="8"/>
      <c r="E40" s="8"/>
      <c r="F40" s="4">
        <f>F41</f>
        <v>17</v>
      </c>
      <c r="G40" s="4">
        <f t="shared" ref="G40:H41" si="3">G41</f>
        <v>18</v>
      </c>
      <c r="H40" s="4">
        <f t="shared" si="3"/>
        <v>145</v>
      </c>
    </row>
    <row r="41" spans="1:8" s="21" customFormat="1" ht="45.75" customHeight="1" x14ac:dyDescent="0.2">
      <c r="A41" s="18" t="s">
        <v>302</v>
      </c>
      <c r="B41" s="19" t="s">
        <v>11</v>
      </c>
      <c r="C41" s="19" t="s">
        <v>29</v>
      </c>
      <c r="D41" s="19" t="s">
        <v>316</v>
      </c>
      <c r="E41" s="19"/>
      <c r="F41" s="20">
        <f>F42</f>
        <v>17</v>
      </c>
      <c r="G41" s="20">
        <f t="shared" si="3"/>
        <v>18</v>
      </c>
      <c r="H41" s="20">
        <f t="shared" si="3"/>
        <v>145</v>
      </c>
    </row>
    <row r="42" spans="1:8" s="26" customFormat="1" ht="25.5" customHeight="1" x14ac:dyDescent="0.2">
      <c r="A42" s="23" t="s">
        <v>114</v>
      </c>
      <c r="B42" s="24" t="s">
        <v>11</v>
      </c>
      <c r="C42" s="24" t="s">
        <v>29</v>
      </c>
      <c r="D42" s="24" t="s">
        <v>316</v>
      </c>
      <c r="E42" s="27" t="s">
        <v>66</v>
      </c>
      <c r="F42" s="25">
        <f>' первое чтение вед стр-ра'!G33</f>
        <v>17</v>
      </c>
      <c r="G42" s="25">
        <f>' первое чтение вед стр-ра'!H33</f>
        <v>18</v>
      </c>
      <c r="H42" s="25">
        <f>' первое чтение вед стр-ра'!I33</f>
        <v>145</v>
      </c>
    </row>
    <row r="43" spans="1:8" s="144" customFormat="1" ht="38.25" customHeight="1" x14ac:dyDescent="0.2">
      <c r="A43" s="11" t="s">
        <v>79</v>
      </c>
      <c r="B43" s="8" t="s">
        <v>11</v>
      </c>
      <c r="C43" s="8" t="s">
        <v>48</v>
      </c>
      <c r="D43" s="8"/>
      <c r="E43" s="8"/>
      <c r="F43" s="4">
        <f>F44+F48</f>
        <v>3046.0000000000005</v>
      </c>
      <c r="G43" s="4">
        <f>G44+G48</f>
        <v>3046.0000000000005</v>
      </c>
      <c r="H43" s="4">
        <f>H44+H48</f>
        <v>3046.0000000000005</v>
      </c>
    </row>
    <row r="44" spans="1:8" s="9" customFormat="1" ht="12.75" customHeight="1" x14ac:dyDescent="0.2">
      <c r="A44" s="18" t="s">
        <v>187</v>
      </c>
      <c r="B44" s="19" t="s">
        <v>11</v>
      </c>
      <c r="C44" s="19" t="s">
        <v>48</v>
      </c>
      <c r="D44" s="19" t="s">
        <v>186</v>
      </c>
      <c r="E44" s="19"/>
      <c r="F44" s="20">
        <f>+F45+F46+F47</f>
        <v>2250.6000000000004</v>
      </c>
      <c r="G44" s="20">
        <f>+G45+G46+G47</f>
        <v>2250.6000000000004</v>
      </c>
      <c r="H44" s="20">
        <f>+H45+H46+H47</f>
        <v>2250.6000000000004</v>
      </c>
    </row>
    <row r="45" spans="1:8" s="21" customFormat="1" ht="51" customHeight="1" x14ac:dyDescent="0.2">
      <c r="A45" s="30" t="s">
        <v>64</v>
      </c>
      <c r="B45" s="24" t="s">
        <v>11</v>
      </c>
      <c r="C45" s="24" t="s">
        <v>48</v>
      </c>
      <c r="D45" s="24" t="s">
        <v>186</v>
      </c>
      <c r="E45" s="27" t="s">
        <v>65</v>
      </c>
      <c r="F45" s="25">
        <f>' первое чтение вед стр-ра'!G179</f>
        <v>1790.3000000000002</v>
      </c>
      <c r="G45" s="25">
        <f>' первое чтение вед стр-ра'!H179</f>
        <v>1790.3000000000002</v>
      </c>
      <c r="H45" s="25">
        <f>' первое чтение вед стр-ра'!I179</f>
        <v>1790.3000000000002</v>
      </c>
    </row>
    <row r="46" spans="1:8" s="21" customFormat="1" ht="25.5" customHeight="1" x14ac:dyDescent="0.2">
      <c r="A46" s="28" t="s">
        <v>74</v>
      </c>
      <c r="B46" s="24" t="s">
        <v>11</v>
      </c>
      <c r="C46" s="24" t="s">
        <v>48</v>
      </c>
      <c r="D46" s="24" t="s">
        <v>186</v>
      </c>
      <c r="E46" s="27" t="s">
        <v>66</v>
      </c>
      <c r="F46" s="25">
        <f>' первое чтение вед стр-ра'!G180</f>
        <v>459.5</v>
      </c>
      <c r="G46" s="25">
        <f>' первое чтение вед стр-ра'!H180</f>
        <v>459.5</v>
      </c>
      <c r="H46" s="25">
        <f>' первое чтение вед стр-ра'!I180</f>
        <v>459.5</v>
      </c>
    </row>
    <row r="47" spans="1:8" s="26" customFormat="1" ht="12.75" customHeight="1" x14ac:dyDescent="0.2">
      <c r="A47" s="28" t="s">
        <v>70</v>
      </c>
      <c r="B47" s="24" t="s">
        <v>11</v>
      </c>
      <c r="C47" s="24" t="s">
        <v>48</v>
      </c>
      <c r="D47" s="24" t="s">
        <v>186</v>
      </c>
      <c r="E47" s="24" t="s">
        <v>71</v>
      </c>
      <c r="F47" s="25">
        <f>' первое чтение вед стр-ра'!G181</f>
        <v>0.8</v>
      </c>
      <c r="G47" s="25">
        <f>' первое чтение вед стр-ра'!H181</f>
        <v>0.8</v>
      </c>
      <c r="H47" s="25">
        <f>' первое чтение вед стр-ра'!I181</f>
        <v>0.8</v>
      </c>
    </row>
    <row r="48" spans="1:8" s="21" customFormat="1" ht="12.75" customHeight="1" x14ac:dyDescent="0.2">
      <c r="A48" s="18" t="s">
        <v>188</v>
      </c>
      <c r="B48" s="19" t="s">
        <v>11</v>
      </c>
      <c r="C48" s="19" t="s">
        <v>48</v>
      </c>
      <c r="D48" s="19" t="s">
        <v>189</v>
      </c>
      <c r="E48" s="19"/>
      <c r="F48" s="20">
        <f>F49</f>
        <v>795.4</v>
      </c>
      <c r="G48" s="20">
        <f>G49</f>
        <v>795.4</v>
      </c>
      <c r="H48" s="20">
        <f>H49</f>
        <v>795.4</v>
      </c>
    </row>
    <row r="49" spans="1:8" s="26" customFormat="1" ht="51" customHeight="1" x14ac:dyDescent="0.2">
      <c r="A49" s="30" t="s">
        <v>64</v>
      </c>
      <c r="B49" s="24" t="s">
        <v>11</v>
      </c>
      <c r="C49" s="24" t="s">
        <v>48</v>
      </c>
      <c r="D49" s="24" t="s">
        <v>189</v>
      </c>
      <c r="E49" s="27" t="s">
        <v>65</v>
      </c>
      <c r="F49" s="25">
        <f>' первое чтение вед стр-ра'!G183</f>
        <v>795.4</v>
      </c>
      <c r="G49" s="25">
        <f>' первое чтение вед стр-ра'!H183</f>
        <v>795.4</v>
      </c>
      <c r="H49" s="25">
        <f>' первое чтение вед стр-ра'!I183</f>
        <v>795.4</v>
      </c>
    </row>
    <row r="50" spans="1:8" s="71" customFormat="1" ht="12.75" customHeight="1" x14ac:dyDescent="0.2">
      <c r="A50" s="62" t="s">
        <v>21</v>
      </c>
      <c r="B50" s="64" t="s">
        <v>11</v>
      </c>
      <c r="C50" s="64" t="s">
        <v>20</v>
      </c>
      <c r="D50" s="64"/>
      <c r="E50" s="64"/>
      <c r="F50" s="65">
        <f t="shared" ref="F50:H51" si="4">F51</f>
        <v>2000</v>
      </c>
      <c r="G50" s="65">
        <f t="shared" si="4"/>
        <v>2000</v>
      </c>
      <c r="H50" s="65">
        <f t="shared" si="4"/>
        <v>2000</v>
      </c>
    </row>
    <row r="51" spans="1:8" s="26" customFormat="1" ht="12.75" customHeight="1" x14ac:dyDescent="0.2">
      <c r="A51" s="18" t="s">
        <v>240</v>
      </c>
      <c r="B51" s="19" t="s">
        <v>11</v>
      </c>
      <c r="C51" s="19" t="s">
        <v>20</v>
      </c>
      <c r="D51" s="19" t="s">
        <v>242</v>
      </c>
      <c r="E51" s="19"/>
      <c r="F51" s="20">
        <f t="shared" si="4"/>
        <v>2000</v>
      </c>
      <c r="G51" s="20">
        <f t="shared" si="4"/>
        <v>2000</v>
      </c>
      <c r="H51" s="20">
        <f t="shared" si="4"/>
        <v>2000</v>
      </c>
    </row>
    <row r="52" spans="1:8" s="71" customFormat="1" ht="12.75" customHeight="1" x14ac:dyDescent="0.2">
      <c r="A52" s="79" t="s">
        <v>70</v>
      </c>
      <c r="B52" s="74" t="s">
        <v>11</v>
      </c>
      <c r="C52" s="74" t="s">
        <v>20</v>
      </c>
      <c r="D52" s="74" t="s">
        <v>242</v>
      </c>
      <c r="E52" s="74" t="s">
        <v>71</v>
      </c>
      <c r="F52" s="54">
        <f>' первое чтение вед стр-ра'!G36</f>
        <v>2000</v>
      </c>
      <c r="G52" s="54">
        <f>' первое чтение вед стр-ра'!H36</f>
        <v>2000</v>
      </c>
      <c r="H52" s="54">
        <f>' первое чтение вед стр-ра'!I36</f>
        <v>2000</v>
      </c>
    </row>
    <row r="53" spans="1:8" s="76" customFormat="1" ht="12.75" customHeight="1" x14ac:dyDescent="0.2">
      <c r="A53" s="62" t="s">
        <v>23</v>
      </c>
      <c r="B53" s="64" t="s">
        <v>11</v>
      </c>
      <c r="C53" s="64" t="s">
        <v>59</v>
      </c>
      <c r="D53" s="64"/>
      <c r="E53" s="64"/>
      <c r="F53" s="65">
        <f>F54+F62+F64+F66+F68+F70+F72+F74+F78+F82+F84+F86+F89+F76+F56+F60+F92+F58</f>
        <v>43251.799999999996</v>
      </c>
      <c r="G53" s="65">
        <f t="shared" ref="G53:H53" si="5">G54+G62+G64+G66+G68+G70+G72+G74+G78+G82+G84+G86+G89+G76+G56+G60+G92+G58</f>
        <v>26908.2</v>
      </c>
      <c r="H53" s="65">
        <f t="shared" si="5"/>
        <v>26746.1</v>
      </c>
    </row>
    <row r="54" spans="1:8" s="76" customFormat="1" ht="12.75" customHeight="1" x14ac:dyDescent="0.2">
      <c r="A54" s="67" t="s">
        <v>125</v>
      </c>
      <c r="B54" s="69" t="s">
        <v>11</v>
      </c>
      <c r="C54" s="69" t="s">
        <v>59</v>
      </c>
      <c r="D54" s="69" t="s">
        <v>126</v>
      </c>
      <c r="E54" s="69"/>
      <c r="F54" s="70">
        <f>F55</f>
        <v>3182.8</v>
      </c>
      <c r="G54" s="70">
        <f>G55</f>
        <v>0</v>
      </c>
      <c r="H54" s="70">
        <f>H55</f>
        <v>0</v>
      </c>
    </row>
    <row r="55" spans="1:8" s="76" customFormat="1" ht="25.5" customHeight="1" x14ac:dyDescent="0.2">
      <c r="A55" s="79" t="s">
        <v>119</v>
      </c>
      <c r="B55" s="74" t="s">
        <v>11</v>
      </c>
      <c r="C55" s="74" t="s">
        <v>59</v>
      </c>
      <c r="D55" s="74" t="s">
        <v>126</v>
      </c>
      <c r="E55" s="74" t="s">
        <v>63</v>
      </c>
      <c r="F55" s="54">
        <f>' первое чтение вед стр-ра'!G43</f>
        <v>3182.8</v>
      </c>
      <c r="G55" s="54">
        <f>' первое чтение вед стр-ра'!H43</f>
        <v>0</v>
      </c>
      <c r="H55" s="54">
        <f>' первое чтение вед стр-ра'!I43</f>
        <v>0</v>
      </c>
    </row>
    <row r="56" spans="1:8" s="71" customFormat="1" ht="25.5" customHeight="1" x14ac:dyDescent="0.2">
      <c r="A56" s="81" t="s">
        <v>135</v>
      </c>
      <c r="B56" s="69" t="s">
        <v>11</v>
      </c>
      <c r="C56" s="69" t="s">
        <v>59</v>
      </c>
      <c r="D56" s="69" t="s">
        <v>134</v>
      </c>
      <c r="E56" s="82"/>
      <c r="F56" s="83">
        <f>F57</f>
        <v>1689</v>
      </c>
      <c r="G56" s="83">
        <f>G57</f>
        <v>0</v>
      </c>
      <c r="H56" s="83">
        <f>H57</f>
        <v>0</v>
      </c>
    </row>
    <row r="57" spans="1:8" s="71" customFormat="1" ht="25.5" customHeight="1" x14ac:dyDescent="0.2">
      <c r="A57" s="79" t="s">
        <v>119</v>
      </c>
      <c r="B57" s="74" t="s">
        <v>11</v>
      </c>
      <c r="C57" s="74" t="s">
        <v>59</v>
      </c>
      <c r="D57" s="69" t="s">
        <v>134</v>
      </c>
      <c r="E57" s="74" t="s">
        <v>63</v>
      </c>
      <c r="F57" s="54">
        <f>' первое чтение вед стр-ра'!G45</f>
        <v>1689</v>
      </c>
      <c r="G57" s="54">
        <f>' первое чтение вед стр-ра'!H45</f>
        <v>0</v>
      </c>
      <c r="H57" s="54">
        <f>' первое чтение вед стр-ра'!I45</f>
        <v>0</v>
      </c>
    </row>
    <row r="58" spans="1:8" ht="12.75" customHeight="1" x14ac:dyDescent="0.2">
      <c r="A58" s="18" t="s">
        <v>144</v>
      </c>
      <c r="B58" s="19" t="s">
        <v>11</v>
      </c>
      <c r="C58" s="19" t="s">
        <v>59</v>
      </c>
      <c r="D58" s="19" t="s">
        <v>143</v>
      </c>
      <c r="E58" s="19"/>
      <c r="F58" s="20">
        <f>F59</f>
        <v>850</v>
      </c>
      <c r="G58" s="20">
        <f>G59</f>
        <v>0</v>
      </c>
      <c r="H58" s="20">
        <f>H59</f>
        <v>0</v>
      </c>
    </row>
    <row r="59" spans="1:8" s="26" customFormat="1" ht="25.5" customHeight="1" x14ac:dyDescent="0.2">
      <c r="A59" s="28" t="s">
        <v>80</v>
      </c>
      <c r="B59" s="24" t="s">
        <v>11</v>
      </c>
      <c r="C59" s="24" t="s">
        <v>59</v>
      </c>
      <c r="D59" s="24" t="s">
        <v>143</v>
      </c>
      <c r="E59" s="24" t="s">
        <v>63</v>
      </c>
      <c r="F59" s="25">
        <v>850</v>
      </c>
      <c r="G59" s="25"/>
      <c r="H59" s="25"/>
    </row>
    <row r="60" spans="1:8" ht="38.25" customHeight="1" x14ac:dyDescent="0.2">
      <c r="A60" s="18" t="s">
        <v>318</v>
      </c>
      <c r="B60" s="24" t="s">
        <v>11</v>
      </c>
      <c r="C60" s="24" t="s">
        <v>59</v>
      </c>
      <c r="D60" s="19" t="s">
        <v>319</v>
      </c>
      <c r="E60" s="24"/>
      <c r="F60" s="25">
        <f>F61</f>
        <v>3052.2</v>
      </c>
      <c r="G60" s="25">
        <f t="shared" ref="G60:H60" si="6">G61</f>
        <v>2834.3</v>
      </c>
      <c r="H60" s="25">
        <f t="shared" si="6"/>
        <v>2834.3</v>
      </c>
    </row>
    <row r="61" spans="1:8" s="21" customFormat="1" ht="25.5" customHeight="1" x14ac:dyDescent="0.2">
      <c r="A61" s="28" t="s">
        <v>119</v>
      </c>
      <c r="B61" s="24" t="s">
        <v>11</v>
      </c>
      <c r="C61" s="24" t="s">
        <v>59</v>
      </c>
      <c r="D61" s="19" t="s">
        <v>319</v>
      </c>
      <c r="E61" s="24" t="s">
        <v>63</v>
      </c>
      <c r="F61" s="25">
        <f>' первое чтение вед стр-ра'!G60</f>
        <v>3052.2</v>
      </c>
      <c r="G61" s="25">
        <f>' первое чтение вед стр-ра'!H60</f>
        <v>2834.3</v>
      </c>
      <c r="H61" s="25">
        <f>' первое чтение вед стр-ра'!I60</f>
        <v>2834.3</v>
      </c>
    </row>
    <row r="62" spans="1:8" s="21" customFormat="1" ht="33.75" customHeight="1" x14ac:dyDescent="0.2">
      <c r="A62" s="18" t="s">
        <v>127</v>
      </c>
      <c r="B62" s="19" t="s">
        <v>11</v>
      </c>
      <c r="C62" s="19" t="s">
        <v>59</v>
      </c>
      <c r="D62" s="19" t="s">
        <v>83</v>
      </c>
      <c r="E62" s="19"/>
      <c r="F62" s="20">
        <f>F63</f>
        <v>125</v>
      </c>
      <c r="G62" s="20">
        <f>G63</f>
        <v>125</v>
      </c>
      <c r="H62" s="20">
        <f>H63</f>
        <v>125</v>
      </c>
    </row>
    <row r="63" spans="1:8" s="26" customFormat="1" ht="25.5" customHeight="1" x14ac:dyDescent="0.2">
      <c r="A63" s="28" t="s">
        <v>119</v>
      </c>
      <c r="B63" s="24" t="s">
        <v>11</v>
      </c>
      <c r="C63" s="24" t="s">
        <v>59</v>
      </c>
      <c r="D63" s="24" t="s">
        <v>83</v>
      </c>
      <c r="E63" s="24" t="s">
        <v>63</v>
      </c>
      <c r="F63" s="25">
        <f>' первое чтение вед стр-ра'!G49</f>
        <v>125</v>
      </c>
      <c r="G63" s="25">
        <f>' первое чтение вед стр-ра'!H49</f>
        <v>125</v>
      </c>
      <c r="H63" s="25">
        <f>' первое чтение вед стр-ра'!I49</f>
        <v>125</v>
      </c>
    </row>
    <row r="64" spans="1:8" s="26" customFormat="1" ht="25.5" customHeight="1" x14ac:dyDescent="0.2">
      <c r="A64" s="110" t="s">
        <v>130</v>
      </c>
      <c r="B64" s="16" t="s">
        <v>11</v>
      </c>
      <c r="C64" s="19" t="s">
        <v>59</v>
      </c>
      <c r="D64" s="5" t="s">
        <v>131</v>
      </c>
      <c r="E64" s="5"/>
      <c r="F64" s="6">
        <f>F65</f>
        <v>5639.2</v>
      </c>
      <c r="G64" s="6">
        <f>G65</f>
        <v>5005.8999999999996</v>
      </c>
      <c r="H64" s="6">
        <f>H65</f>
        <v>4843.8</v>
      </c>
    </row>
    <row r="65" spans="1:8" s="26" customFormat="1" ht="25.5" customHeight="1" x14ac:dyDescent="0.2">
      <c r="A65" s="28" t="s">
        <v>119</v>
      </c>
      <c r="B65" s="24" t="s">
        <v>11</v>
      </c>
      <c r="C65" s="24" t="s">
        <v>59</v>
      </c>
      <c r="D65" s="24" t="s">
        <v>131</v>
      </c>
      <c r="E65" s="24" t="s">
        <v>63</v>
      </c>
      <c r="F65" s="25">
        <f>' первое чтение вед стр-ра'!G53</f>
        <v>5639.2</v>
      </c>
      <c r="G65" s="25">
        <f>' первое чтение вед стр-ра'!H53</f>
        <v>5005.8999999999996</v>
      </c>
      <c r="H65" s="25">
        <f>' первое чтение вед стр-ра'!I53</f>
        <v>4843.8</v>
      </c>
    </row>
    <row r="66" spans="1:8" s="71" customFormat="1" ht="25.5" customHeight="1" x14ac:dyDescent="0.2">
      <c r="A66" s="81" t="s">
        <v>128</v>
      </c>
      <c r="B66" s="69" t="s">
        <v>11</v>
      </c>
      <c r="C66" s="69" t="s">
        <v>59</v>
      </c>
      <c r="D66" s="69" t="s">
        <v>129</v>
      </c>
      <c r="E66" s="69"/>
      <c r="F66" s="70">
        <f>F67</f>
        <v>966</v>
      </c>
      <c r="G66" s="70">
        <f>G67</f>
        <v>966</v>
      </c>
      <c r="H66" s="70">
        <f>H67</f>
        <v>966</v>
      </c>
    </row>
    <row r="67" spans="1:8" s="76" customFormat="1" ht="12.75" customHeight="1" x14ac:dyDescent="0.2">
      <c r="A67" s="79" t="s">
        <v>67</v>
      </c>
      <c r="B67" s="74" t="s">
        <v>11</v>
      </c>
      <c r="C67" s="74" t="s">
        <v>59</v>
      </c>
      <c r="D67" s="74" t="s">
        <v>129</v>
      </c>
      <c r="E67" s="74" t="s">
        <v>68</v>
      </c>
      <c r="F67" s="54">
        <f>' первое чтение вед стр-ра'!G51</f>
        <v>966</v>
      </c>
      <c r="G67" s="54">
        <f>' первое чтение вед стр-ра'!H51</f>
        <v>966</v>
      </c>
      <c r="H67" s="54">
        <f>' первое чтение вед стр-ра'!I51</f>
        <v>966</v>
      </c>
    </row>
    <row r="68" spans="1:8" s="71" customFormat="1" ht="12.75" customHeight="1" x14ac:dyDescent="0.2">
      <c r="A68" s="67" t="s">
        <v>195</v>
      </c>
      <c r="B68" s="69" t="s">
        <v>11</v>
      </c>
      <c r="C68" s="69" t="s">
        <v>59</v>
      </c>
      <c r="D68" s="69" t="s">
        <v>194</v>
      </c>
      <c r="E68" s="69"/>
      <c r="F68" s="70">
        <f>F69</f>
        <v>3373.5</v>
      </c>
      <c r="G68" s="70">
        <f>G69</f>
        <v>0</v>
      </c>
      <c r="H68" s="70">
        <f>H69</f>
        <v>0</v>
      </c>
    </row>
    <row r="69" spans="1:8" s="76" customFormat="1" ht="12.75" customHeight="1" x14ac:dyDescent="0.2">
      <c r="A69" s="79" t="s">
        <v>67</v>
      </c>
      <c r="B69" s="74" t="s">
        <v>11</v>
      </c>
      <c r="C69" s="74" t="s">
        <v>59</v>
      </c>
      <c r="D69" s="74" t="s">
        <v>194</v>
      </c>
      <c r="E69" s="74" t="s">
        <v>68</v>
      </c>
      <c r="F69" s="54">
        <f>' первое чтение вед стр-ра'!G39+' первое чтение вед стр-ра'!G198</f>
        <v>3373.5</v>
      </c>
      <c r="G69" s="54">
        <f>' первое чтение вед стр-ра'!H39+' первое чтение вед стр-ра'!H198</f>
        <v>0</v>
      </c>
      <c r="H69" s="54">
        <f>' первое чтение вед стр-ра'!I39+' первое чтение вед стр-ра'!I198</f>
        <v>0</v>
      </c>
    </row>
    <row r="70" spans="1:8" s="9" customFormat="1" ht="12.75" customHeight="1" x14ac:dyDescent="0.2">
      <c r="A70" s="18" t="s">
        <v>241</v>
      </c>
      <c r="B70" s="19" t="s">
        <v>11</v>
      </c>
      <c r="C70" s="19" t="s">
        <v>59</v>
      </c>
      <c r="D70" s="19" t="s">
        <v>243</v>
      </c>
      <c r="E70" s="19"/>
      <c r="F70" s="20">
        <f>F71</f>
        <v>1100</v>
      </c>
      <c r="G70" s="20">
        <f>G71</f>
        <v>1100</v>
      </c>
      <c r="H70" s="20">
        <f>H71</f>
        <v>1100</v>
      </c>
    </row>
    <row r="71" spans="1:8" s="7" customFormat="1" ht="12.75" customHeight="1" x14ac:dyDescent="0.2">
      <c r="A71" s="28" t="s">
        <v>70</v>
      </c>
      <c r="B71" s="24" t="s">
        <v>11</v>
      </c>
      <c r="C71" s="24" t="s">
        <v>59</v>
      </c>
      <c r="D71" s="24" t="s">
        <v>243</v>
      </c>
      <c r="E71" s="24" t="s">
        <v>71</v>
      </c>
      <c r="F71" s="25">
        <f>' первое чтение вед стр-ра'!G41</f>
        <v>1100</v>
      </c>
      <c r="G71" s="25">
        <f>' первое чтение вед стр-ра'!H41</f>
        <v>1100</v>
      </c>
      <c r="H71" s="25">
        <f>' первое чтение вед стр-ра'!I41</f>
        <v>1100</v>
      </c>
    </row>
    <row r="72" spans="1:8" s="7" customFormat="1" ht="30.75" customHeight="1" x14ac:dyDescent="0.2">
      <c r="A72" s="18" t="s">
        <v>166</v>
      </c>
      <c r="B72" s="19" t="s">
        <v>11</v>
      </c>
      <c r="C72" s="19" t="s">
        <v>59</v>
      </c>
      <c r="D72" s="5" t="s">
        <v>165</v>
      </c>
      <c r="E72" s="5"/>
      <c r="F72" s="6">
        <f>F73</f>
        <v>500</v>
      </c>
      <c r="G72" s="6">
        <f>G73</f>
        <v>0</v>
      </c>
      <c r="H72" s="6">
        <f>H73</f>
        <v>0</v>
      </c>
    </row>
    <row r="73" spans="1:8" s="7" customFormat="1" ht="25.5" customHeight="1" x14ac:dyDescent="0.2">
      <c r="A73" s="28" t="s">
        <v>74</v>
      </c>
      <c r="B73" s="24" t="s">
        <v>11</v>
      </c>
      <c r="C73" s="24" t="s">
        <v>59</v>
      </c>
      <c r="D73" s="24" t="s">
        <v>165</v>
      </c>
      <c r="E73" s="27" t="s">
        <v>66</v>
      </c>
      <c r="F73" s="25">
        <f>' первое чтение вед стр-ра'!G144</f>
        <v>500</v>
      </c>
      <c r="G73" s="25">
        <f>' первое чтение вед стр-ра'!H144</f>
        <v>0</v>
      </c>
      <c r="H73" s="25">
        <f>' первое чтение вед стр-ра'!I144</f>
        <v>0</v>
      </c>
    </row>
    <row r="74" spans="1:8" s="7" customFormat="1" ht="12" customHeight="1" x14ac:dyDescent="0.2">
      <c r="A74" s="18" t="s">
        <v>167</v>
      </c>
      <c r="B74" s="19" t="s">
        <v>11</v>
      </c>
      <c r="C74" s="19" t="s">
        <v>59</v>
      </c>
      <c r="D74" s="5" t="s">
        <v>168</v>
      </c>
      <c r="E74" s="5"/>
      <c r="F74" s="6">
        <f>F75</f>
        <v>300</v>
      </c>
      <c r="G74" s="6">
        <f>G75</f>
        <v>0</v>
      </c>
      <c r="H74" s="6">
        <f>H75</f>
        <v>0</v>
      </c>
    </row>
    <row r="75" spans="1:8" s="7" customFormat="1" ht="25.5" customHeight="1" x14ac:dyDescent="0.2">
      <c r="A75" s="28" t="s">
        <v>74</v>
      </c>
      <c r="B75" s="24" t="s">
        <v>11</v>
      </c>
      <c r="C75" s="24" t="s">
        <v>59</v>
      </c>
      <c r="D75" s="24" t="s">
        <v>168</v>
      </c>
      <c r="E75" s="27" t="s">
        <v>66</v>
      </c>
      <c r="F75" s="25">
        <f>' первое чтение вед стр-ра'!G146</f>
        <v>300</v>
      </c>
      <c r="G75" s="25">
        <f>' первое чтение вед стр-ра'!H146</f>
        <v>0</v>
      </c>
      <c r="H75" s="25">
        <f>' первое чтение вед стр-ра'!I146</f>
        <v>0</v>
      </c>
    </row>
    <row r="76" spans="1:8" s="7" customFormat="1" ht="25.5" customHeight="1" x14ac:dyDescent="0.2">
      <c r="A76" s="18" t="s">
        <v>169</v>
      </c>
      <c r="B76" s="19" t="s">
        <v>11</v>
      </c>
      <c r="C76" s="19" t="s">
        <v>59</v>
      </c>
      <c r="D76" s="19" t="s">
        <v>170</v>
      </c>
      <c r="E76" s="19"/>
      <c r="F76" s="20">
        <f>F77</f>
        <v>200</v>
      </c>
      <c r="G76" s="20">
        <f>G77</f>
        <v>0</v>
      </c>
      <c r="H76" s="20">
        <f>H77</f>
        <v>0</v>
      </c>
    </row>
    <row r="77" spans="1:8" s="9" customFormat="1" ht="25.5" customHeight="1" x14ac:dyDescent="0.2">
      <c r="A77" s="28" t="s">
        <v>74</v>
      </c>
      <c r="B77" s="24" t="s">
        <v>11</v>
      </c>
      <c r="C77" s="24" t="s">
        <v>59</v>
      </c>
      <c r="D77" s="24" t="s">
        <v>170</v>
      </c>
      <c r="E77" s="27" t="s">
        <v>66</v>
      </c>
      <c r="F77" s="25">
        <f>' первое чтение вед стр-ра'!G148</f>
        <v>200</v>
      </c>
      <c r="G77" s="25">
        <f>' первое чтение вед стр-ра'!H148</f>
        <v>0</v>
      </c>
      <c r="H77" s="25">
        <f>' первое чтение вед стр-ра'!I148</f>
        <v>0</v>
      </c>
    </row>
    <row r="78" spans="1:8" s="12" customFormat="1" ht="12.75" customHeight="1" x14ac:dyDescent="0.2">
      <c r="A78" s="18" t="s">
        <v>171</v>
      </c>
      <c r="B78" s="19" t="s">
        <v>11</v>
      </c>
      <c r="C78" s="19" t="s">
        <v>59</v>
      </c>
      <c r="D78" s="5" t="s">
        <v>172</v>
      </c>
      <c r="E78" s="5"/>
      <c r="F78" s="6">
        <f>F81+F79+F80</f>
        <v>3782.7</v>
      </c>
      <c r="G78" s="6">
        <f t="shared" ref="G78:H78" si="7">G81+G79+G80</f>
        <v>0</v>
      </c>
      <c r="H78" s="6">
        <f t="shared" si="7"/>
        <v>0</v>
      </c>
    </row>
    <row r="79" spans="1:8" s="26" customFormat="1" ht="25.5" customHeight="1" x14ac:dyDescent="0.2">
      <c r="A79" s="28" t="s">
        <v>74</v>
      </c>
      <c r="B79" s="24" t="s">
        <v>11</v>
      </c>
      <c r="C79" s="24" t="s">
        <v>59</v>
      </c>
      <c r="D79" s="24" t="s">
        <v>172</v>
      </c>
      <c r="E79" s="27" t="s">
        <v>66</v>
      </c>
      <c r="F79" s="25">
        <f>' первое чтение вед стр-ра'!G150</f>
        <v>2578</v>
      </c>
      <c r="G79" s="25">
        <f>' первое чтение вед стр-ра'!H150</f>
        <v>0</v>
      </c>
      <c r="H79" s="25">
        <f>' первое чтение вед стр-ра'!I150</f>
        <v>0</v>
      </c>
    </row>
    <row r="80" spans="1:8" s="26" customFormat="1" ht="25.5" customHeight="1" x14ac:dyDescent="0.2">
      <c r="A80" s="28" t="s">
        <v>119</v>
      </c>
      <c r="B80" s="24" t="s">
        <v>11</v>
      </c>
      <c r="C80" s="24" t="s">
        <v>59</v>
      </c>
      <c r="D80" s="24" t="s">
        <v>172</v>
      </c>
      <c r="E80" s="27" t="s">
        <v>63</v>
      </c>
      <c r="F80" s="25">
        <f>' первое чтение вед стр-ра'!G55</f>
        <v>1073.8</v>
      </c>
      <c r="G80" s="25">
        <f>' первое чтение вед стр-ра'!H55</f>
        <v>0</v>
      </c>
      <c r="H80" s="25">
        <f>' первое чтение вед стр-ра'!I55</f>
        <v>0</v>
      </c>
    </row>
    <row r="81" spans="1:8" s="26" customFormat="1" ht="12.75" customHeight="1" x14ac:dyDescent="0.2">
      <c r="A81" s="28" t="s">
        <v>70</v>
      </c>
      <c r="B81" s="24" t="s">
        <v>11</v>
      </c>
      <c r="C81" s="24" t="s">
        <v>59</v>
      </c>
      <c r="D81" s="24" t="s">
        <v>172</v>
      </c>
      <c r="E81" s="27" t="s">
        <v>71</v>
      </c>
      <c r="F81" s="25">
        <f>' первое чтение вед стр-ра'!G151</f>
        <v>130.9</v>
      </c>
      <c r="G81" s="25">
        <f>' первое чтение вед стр-ра'!H151</f>
        <v>0</v>
      </c>
      <c r="H81" s="25">
        <f>' первое чтение вед стр-ра'!I151</f>
        <v>0</v>
      </c>
    </row>
    <row r="82" spans="1:8" s="12" customFormat="1" ht="12.75" customHeight="1" x14ac:dyDescent="0.2">
      <c r="A82" s="18" t="s">
        <v>174</v>
      </c>
      <c r="B82" s="19" t="s">
        <v>11</v>
      </c>
      <c r="C82" s="19" t="s">
        <v>59</v>
      </c>
      <c r="D82" s="5" t="s">
        <v>173</v>
      </c>
      <c r="E82" s="5"/>
      <c r="F82" s="6">
        <f>F83</f>
        <v>500</v>
      </c>
      <c r="G82" s="6">
        <f>G83</f>
        <v>0</v>
      </c>
      <c r="H82" s="6">
        <f>H83</f>
        <v>0</v>
      </c>
    </row>
    <row r="83" spans="1:8" s="26" customFormat="1" ht="25.5" customHeight="1" x14ac:dyDescent="0.2">
      <c r="A83" s="28" t="s">
        <v>74</v>
      </c>
      <c r="B83" s="24" t="s">
        <v>11</v>
      </c>
      <c r="C83" s="24" t="s">
        <v>59</v>
      </c>
      <c r="D83" s="24" t="s">
        <v>173</v>
      </c>
      <c r="E83" s="27" t="s">
        <v>66</v>
      </c>
      <c r="F83" s="25">
        <f>' первое чтение вед стр-ра'!G153</f>
        <v>500</v>
      </c>
      <c r="G83" s="25">
        <f>' первое чтение вед стр-ра'!H153</f>
        <v>0</v>
      </c>
      <c r="H83" s="25">
        <f>' первое чтение вед стр-ра'!I153</f>
        <v>0</v>
      </c>
    </row>
    <row r="84" spans="1:8" s="144" customFormat="1" ht="15" customHeight="1" x14ac:dyDescent="0.2">
      <c r="A84" s="18" t="s">
        <v>175</v>
      </c>
      <c r="B84" s="19" t="s">
        <v>11</v>
      </c>
      <c r="C84" s="19" t="s">
        <v>59</v>
      </c>
      <c r="D84" s="5" t="s">
        <v>176</v>
      </c>
      <c r="E84" s="5"/>
      <c r="F84" s="6">
        <f>F85</f>
        <v>169</v>
      </c>
      <c r="G84" s="6">
        <f t="shared" ref="G84:H84" si="8">G85</f>
        <v>0</v>
      </c>
      <c r="H84" s="6">
        <f t="shared" si="8"/>
        <v>0</v>
      </c>
    </row>
    <row r="85" spans="1:8" s="26" customFormat="1" ht="25.5" customHeight="1" x14ac:dyDescent="0.2">
      <c r="A85" s="28" t="s">
        <v>74</v>
      </c>
      <c r="B85" s="24" t="s">
        <v>11</v>
      </c>
      <c r="C85" s="24" t="s">
        <v>59</v>
      </c>
      <c r="D85" s="24" t="s">
        <v>176</v>
      </c>
      <c r="E85" s="27" t="s">
        <v>66</v>
      </c>
      <c r="F85" s="25">
        <f>' первое чтение вед стр-ра'!G155</f>
        <v>169</v>
      </c>
      <c r="G85" s="25">
        <f>' первое чтение вед стр-ра'!H155</f>
        <v>0</v>
      </c>
      <c r="H85" s="25">
        <f>' первое чтение вед стр-ра'!I155</f>
        <v>0</v>
      </c>
    </row>
    <row r="86" spans="1:8" s="71" customFormat="1" ht="25.5" customHeight="1" x14ac:dyDescent="0.2">
      <c r="A86" s="67" t="s">
        <v>177</v>
      </c>
      <c r="B86" s="69" t="s">
        <v>11</v>
      </c>
      <c r="C86" s="69" t="s">
        <v>59</v>
      </c>
      <c r="D86" s="82" t="s">
        <v>178</v>
      </c>
      <c r="E86" s="69"/>
      <c r="F86" s="70">
        <f>F87+F88</f>
        <v>9752.8000000000011</v>
      </c>
      <c r="G86" s="70">
        <f t="shared" ref="G86:H86" si="9">G87+G88</f>
        <v>9065.2000000000007</v>
      </c>
      <c r="H86" s="70">
        <f t="shared" si="9"/>
        <v>9065.2000000000007</v>
      </c>
    </row>
    <row r="87" spans="1:8" s="26" customFormat="1" ht="51" customHeight="1" x14ac:dyDescent="0.2">
      <c r="A87" s="30" t="s">
        <v>64</v>
      </c>
      <c r="B87" s="24" t="s">
        <v>11</v>
      </c>
      <c r="C87" s="24" t="s">
        <v>59</v>
      </c>
      <c r="D87" s="24" t="s">
        <v>178</v>
      </c>
      <c r="E87" s="27" t="s">
        <v>65</v>
      </c>
      <c r="F87" s="25">
        <f>' первое чтение вед стр-ра'!G157</f>
        <v>8926.6</v>
      </c>
      <c r="G87" s="25">
        <f>' первое чтение вед стр-ра'!H157</f>
        <v>8926.6</v>
      </c>
      <c r="H87" s="25">
        <f>' первое чтение вед стр-ра'!I157</f>
        <v>8926.6</v>
      </c>
    </row>
    <row r="88" spans="1:8" s="76" customFormat="1" ht="25.5" customHeight="1" x14ac:dyDescent="0.2">
      <c r="A88" s="79" t="s">
        <v>74</v>
      </c>
      <c r="B88" s="74" t="s">
        <v>11</v>
      </c>
      <c r="C88" s="74" t="s">
        <v>59</v>
      </c>
      <c r="D88" s="74" t="s">
        <v>178</v>
      </c>
      <c r="E88" s="75" t="s">
        <v>66</v>
      </c>
      <c r="F88" s="25">
        <f>' первое чтение вед стр-ра'!G158</f>
        <v>826.2</v>
      </c>
      <c r="G88" s="25">
        <f>' первое чтение вед стр-ра'!H158</f>
        <v>138.6</v>
      </c>
      <c r="H88" s="25">
        <f>' первое чтение вед стр-ра'!I158</f>
        <v>138.6</v>
      </c>
    </row>
    <row r="89" spans="1:8" s="26" customFormat="1" ht="89.25" customHeight="1" x14ac:dyDescent="0.2">
      <c r="A89" s="45" t="s">
        <v>133</v>
      </c>
      <c r="B89" s="19" t="s">
        <v>11</v>
      </c>
      <c r="C89" s="19" t="s">
        <v>59</v>
      </c>
      <c r="D89" s="19" t="s">
        <v>132</v>
      </c>
      <c r="E89" s="19"/>
      <c r="F89" s="20">
        <f>F90+F91</f>
        <v>8019.5999999999995</v>
      </c>
      <c r="G89" s="20">
        <f>G90+G91</f>
        <v>7811.7999999999993</v>
      </c>
      <c r="H89" s="20">
        <f>H90+H91</f>
        <v>7811.7999999999993</v>
      </c>
    </row>
    <row r="90" spans="1:8" s="26" customFormat="1" ht="51" customHeight="1" x14ac:dyDescent="0.2">
      <c r="A90" s="30" t="s">
        <v>64</v>
      </c>
      <c r="B90" s="24" t="s">
        <v>11</v>
      </c>
      <c r="C90" s="24" t="s">
        <v>59</v>
      </c>
      <c r="D90" s="24" t="s">
        <v>132</v>
      </c>
      <c r="E90" s="27" t="s">
        <v>65</v>
      </c>
      <c r="F90" s="25">
        <f>' первое чтение вед стр-ра'!G57</f>
        <v>7757.7999999999993</v>
      </c>
      <c r="G90" s="25">
        <f>' первое чтение вед стр-ра'!H57</f>
        <v>7757.7999999999993</v>
      </c>
      <c r="H90" s="25">
        <f>' первое чтение вед стр-ра'!I57</f>
        <v>7757.7999999999993</v>
      </c>
    </row>
    <row r="91" spans="1:8" s="21" customFormat="1" ht="25.5" customHeight="1" x14ac:dyDescent="0.2">
      <c r="A91" s="28" t="s">
        <v>74</v>
      </c>
      <c r="B91" s="24" t="s">
        <v>11</v>
      </c>
      <c r="C91" s="24" t="s">
        <v>59</v>
      </c>
      <c r="D91" s="24" t="s">
        <v>132</v>
      </c>
      <c r="E91" s="27" t="s">
        <v>66</v>
      </c>
      <c r="F91" s="25">
        <f>' первое чтение вед стр-ра'!G58</f>
        <v>261.8</v>
      </c>
      <c r="G91" s="25">
        <f>' первое чтение вед стр-ра'!H58</f>
        <v>54</v>
      </c>
      <c r="H91" s="25">
        <f>' первое чтение вед стр-ра'!I58</f>
        <v>54</v>
      </c>
    </row>
    <row r="92" spans="1:8" s="76" customFormat="1" ht="25.5" customHeight="1" x14ac:dyDescent="0.2">
      <c r="A92" s="67" t="s">
        <v>583</v>
      </c>
      <c r="B92" s="69" t="s">
        <v>11</v>
      </c>
      <c r="C92" s="69" t="s">
        <v>59</v>
      </c>
      <c r="D92" s="69" t="s">
        <v>584</v>
      </c>
      <c r="E92" s="69"/>
      <c r="F92" s="70">
        <f>F93</f>
        <v>50</v>
      </c>
      <c r="G92" s="70">
        <f>G93</f>
        <v>0</v>
      </c>
      <c r="H92" s="70">
        <f>H93</f>
        <v>0</v>
      </c>
    </row>
    <row r="93" spans="1:8" s="71" customFormat="1" ht="25.5" customHeight="1" x14ac:dyDescent="0.2">
      <c r="A93" s="79" t="s">
        <v>74</v>
      </c>
      <c r="B93" s="74" t="s">
        <v>11</v>
      </c>
      <c r="C93" s="74" t="s">
        <v>59</v>
      </c>
      <c r="D93" s="74" t="s">
        <v>584</v>
      </c>
      <c r="E93" s="75" t="s">
        <v>66</v>
      </c>
      <c r="F93" s="54">
        <f>' первое чтение вед стр-ра'!G449</f>
        <v>50</v>
      </c>
      <c r="G93" s="54">
        <f>' первое чтение вед стр-ра'!H449</f>
        <v>0</v>
      </c>
      <c r="H93" s="54">
        <f>' первое чтение вед стр-ра'!I449</f>
        <v>0</v>
      </c>
    </row>
    <row r="94" spans="1:8" s="26" customFormat="1" ht="31.5" customHeight="1" x14ac:dyDescent="0.25">
      <c r="A94" s="121" t="s">
        <v>5</v>
      </c>
      <c r="B94" s="120" t="s">
        <v>15</v>
      </c>
      <c r="C94" s="120" t="s">
        <v>352</v>
      </c>
      <c r="D94" s="120"/>
      <c r="E94" s="120"/>
      <c r="F94" s="175">
        <f>F95</f>
        <v>16164.8</v>
      </c>
      <c r="G94" s="175">
        <f t="shared" ref="G94:H94" si="10">G95</f>
        <v>14784.4</v>
      </c>
      <c r="H94" s="175">
        <f t="shared" si="10"/>
        <v>14705.1</v>
      </c>
    </row>
    <row r="95" spans="1:8" s="76" customFormat="1" ht="38.25" customHeight="1" x14ac:dyDescent="0.2">
      <c r="A95" s="62" t="s">
        <v>530</v>
      </c>
      <c r="B95" s="176" t="s">
        <v>15</v>
      </c>
      <c r="C95" s="64" t="s">
        <v>25</v>
      </c>
      <c r="D95" s="64"/>
      <c r="E95" s="64"/>
      <c r="F95" s="65">
        <f>+F98+F100+F102+F96</f>
        <v>16164.8</v>
      </c>
      <c r="G95" s="65">
        <f t="shared" ref="G95:H95" si="11">+G98+G100+G102+G96</f>
        <v>14784.4</v>
      </c>
      <c r="H95" s="65">
        <f t="shared" si="11"/>
        <v>14705.1</v>
      </c>
    </row>
    <row r="96" spans="1:8" s="26" customFormat="1" ht="63.75" customHeight="1" x14ac:dyDescent="0.2">
      <c r="A96" s="18" t="s">
        <v>550</v>
      </c>
      <c r="B96" s="24" t="s">
        <v>15</v>
      </c>
      <c r="C96" s="24" t="s">
        <v>25</v>
      </c>
      <c r="D96" s="24" t="s">
        <v>548</v>
      </c>
      <c r="E96" s="27"/>
      <c r="F96" s="25">
        <f>F97</f>
        <v>15854.8</v>
      </c>
      <c r="G96" s="25">
        <f t="shared" ref="G96:H96" si="12">G97</f>
        <v>14784.4</v>
      </c>
      <c r="H96" s="25">
        <f t="shared" si="12"/>
        <v>14705.1</v>
      </c>
    </row>
    <row r="97" spans="1:8" s="26" customFormat="1" ht="25.5" customHeight="1" x14ac:dyDescent="0.2">
      <c r="A97" s="28" t="s">
        <v>119</v>
      </c>
      <c r="B97" s="24" t="s">
        <v>15</v>
      </c>
      <c r="C97" s="24" t="s">
        <v>25</v>
      </c>
      <c r="D97" s="24" t="s">
        <v>548</v>
      </c>
      <c r="E97" s="27" t="s">
        <v>63</v>
      </c>
      <c r="F97" s="25">
        <f>' первое чтение вед стр-ра'!G64</f>
        <v>15854.8</v>
      </c>
      <c r="G97" s="25">
        <f>' первое чтение вед стр-ра'!H64</f>
        <v>14784.4</v>
      </c>
      <c r="H97" s="25">
        <f>' первое чтение вед стр-ра'!I64</f>
        <v>14705.1</v>
      </c>
    </row>
    <row r="98" spans="1:8" s="21" customFormat="1" ht="25.5" customHeight="1" x14ac:dyDescent="0.2">
      <c r="A98" s="17" t="s">
        <v>135</v>
      </c>
      <c r="B98" s="19" t="s">
        <v>15</v>
      </c>
      <c r="C98" s="19" t="s">
        <v>25</v>
      </c>
      <c r="D98" s="19" t="s">
        <v>134</v>
      </c>
      <c r="E98" s="5"/>
      <c r="F98" s="6">
        <f>F99</f>
        <v>55</v>
      </c>
      <c r="G98" s="6">
        <f t="shared" ref="G98:H98" si="13">G99</f>
        <v>0</v>
      </c>
      <c r="H98" s="6">
        <f t="shared" si="13"/>
        <v>0</v>
      </c>
    </row>
    <row r="99" spans="1:8" s="66" customFormat="1" ht="25.5" customHeight="1" x14ac:dyDescent="0.2">
      <c r="A99" s="79" t="s">
        <v>119</v>
      </c>
      <c r="B99" s="74" t="s">
        <v>15</v>
      </c>
      <c r="C99" s="74" t="s">
        <v>25</v>
      </c>
      <c r="D99" s="74" t="s">
        <v>546</v>
      </c>
      <c r="E99" s="75" t="s">
        <v>63</v>
      </c>
      <c r="F99" s="54">
        <f>' первое чтение вед стр-ра'!G66</f>
        <v>55</v>
      </c>
      <c r="G99" s="54">
        <f>' первое чтение вед стр-ра'!H66</f>
        <v>0</v>
      </c>
      <c r="H99" s="54">
        <f>' первое чтение вед стр-ра'!I66</f>
        <v>0</v>
      </c>
    </row>
    <row r="100" spans="1:8" s="71" customFormat="1" ht="12.75" customHeight="1" x14ac:dyDescent="0.2">
      <c r="A100" s="81" t="s">
        <v>136</v>
      </c>
      <c r="B100" s="69" t="s">
        <v>15</v>
      </c>
      <c r="C100" s="69" t="s">
        <v>25</v>
      </c>
      <c r="D100" s="69" t="s">
        <v>137</v>
      </c>
      <c r="E100" s="82"/>
      <c r="F100" s="83">
        <f>F101</f>
        <v>220</v>
      </c>
      <c r="G100" s="83">
        <f t="shared" ref="G100:H100" si="14">G101</f>
        <v>0</v>
      </c>
      <c r="H100" s="83">
        <f t="shared" si="14"/>
        <v>0</v>
      </c>
    </row>
    <row r="101" spans="1:8" s="76" customFormat="1" ht="25.5" customHeight="1" x14ac:dyDescent="0.2">
      <c r="A101" s="79" t="s">
        <v>119</v>
      </c>
      <c r="B101" s="74" t="s">
        <v>15</v>
      </c>
      <c r="C101" s="74" t="s">
        <v>25</v>
      </c>
      <c r="D101" s="74" t="s">
        <v>137</v>
      </c>
      <c r="E101" s="75" t="s">
        <v>63</v>
      </c>
      <c r="F101" s="54">
        <f>' первое чтение вед стр-ра'!G68</f>
        <v>220</v>
      </c>
      <c r="G101" s="54">
        <f>' первое чтение вед стр-ра'!H68</f>
        <v>0</v>
      </c>
      <c r="H101" s="54">
        <f>' первое чтение вед стр-ра'!I68</f>
        <v>0</v>
      </c>
    </row>
    <row r="102" spans="1:8" s="21" customFormat="1" ht="25.5" customHeight="1" x14ac:dyDescent="0.2">
      <c r="A102" s="17" t="s">
        <v>324</v>
      </c>
      <c r="B102" s="19" t="s">
        <v>15</v>
      </c>
      <c r="C102" s="19" t="s">
        <v>25</v>
      </c>
      <c r="D102" s="19" t="s">
        <v>325</v>
      </c>
      <c r="E102" s="5"/>
      <c r="F102" s="6">
        <f>+F103</f>
        <v>35</v>
      </c>
      <c r="G102" s="6">
        <f t="shared" ref="G102:H102" si="15">+G103</f>
        <v>0</v>
      </c>
      <c r="H102" s="6">
        <f t="shared" si="15"/>
        <v>0</v>
      </c>
    </row>
    <row r="103" spans="1:8" s="26" customFormat="1" ht="25.5" customHeight="1" x14ac:dyDescent="0.2">
      <c r="A103" s="28" t="s">
        <v>119</v>
      </c>
      <c r="B103" s="24" t="s">
        <v>15</v>
      </c>
      <c r="C103" s="24" t="s">
        <v>25</v>
      </c>
      <c r="D103" s="19" t="s">
        <v>325</v>
      </c>
      <c r="E103" s="27" t="s">
        <v>63</v>
      </c>
      <c r="F103" s="25">
        <f>' первое чтение вед стр-ра'!G70</f>
        <v>35</v>
      </c>
      <c r="G103" s="25">
        <f>' первое чтение вед стр-ра'!H70</f>
        <v>0</v>
      </c>
      <c r="H103" s="25">
        <f>' первое чтение вед стр-ра'!I70</f>
        <v>0</v>
      </c>
    </row>
    <row r="104" spans="1:8" s="21" customFormat="1" ht="15.75" customHeight="1" x14ac:dyDescent="0.25">
      <c r="A104" s="121" t="s">
        <v>26</v>
      </c>
      <c r="B104" s="120" t="s">
        <v>17</v>
      </c>
      <c r="C104" s="120" t="s">
        <v>352</v>
      </c>
      <c r="D104" s="120"/>
      <c r="E104" s="120"/>
      <c r="F104" s="175">
        <f>+F105+F116</f>
        <v>135188.5</v>
      </c>
      <c r="G104" s="175">
        <f t="shared" ref="G104:H104" si="16">+G105+G116</f>
        <v>134109.5</v>
      </c>
      <c r="H104" s="175">
        <f t="shared" si="16"/>
        <v>112150</v>
      </c>
    </row>
    <row r="105" spans="1:8" s="71" customFormat="1" ht="12.75" customHeight="1" x14ac:dyDescent="0.2">
      <c r="A105" s="62" t="s">
        <v>77</v>
      </c>
      <c r="B105" s="64" t="s">
        <v>17</v>
      </c>
      <c r="C105" s="64" t="s">
        <v>25</v>
      </c>
      <c r="D105" s="64"/>
      <c r="E105" s="64"/>
      <c r="F105" s="220">
        <f>F110+F112+F106+F108+F114</f>
        <v>132283.5</v>
      </c>
      <c r="G105" s="220">
        <f t="shared" ref="G105:H105" si="17">G110+G112+G106+G108+G114</f>
        <v>134109.5</v>
      </c>
      <c r="H105" s="220">
        <f t="shared" si="17"/>
        <v>112150</v>
      </c>
    </row>
    <row r="106" spans="1:8" s="21" customFormat="1" ht="69" customHeight="1" x14ac:dyDescent="0.2">
      <c r="A106" s="18" t="s">
        <v>309</v>
      </c>
      <c r="B106" s="19" t="s">
        <v>17</v>
      </c>
      <c r="C106" s="19" t="s">
        <v>25</v>
      </c>
      <c r="D106" s="19" t="s">
        <v>310</v>
      </c>
      <c r="E106" s="19"/>
      <c r="F106" s="20">
        <f>F107</f>
        <v>30000</v>
      </c>
      <c r="G106" s="20">
        <f>G107</f>
        <v>30000</v>
      </c>
      <c r="H106" s="20">
        <f>H107</f>
        <v>34651</v>
      </c>
    </row>
    <row r="107" spans="1:8" s="26" customFormat="1" ht="25.5" customHeight="1" x14ac:dyDescent="0.2">
      <c r="A107" s="28" t="s">
        <v>119</v>
      </c>
      <c r="B107" s="24" t="s">
        <v>17</v>
      </c>
      <c r="C107" s="24" t="s">
        <v>25</v>
      </c>
      <c r="D107" s="24" t="s">
        <v>310</v>
      </c>
      <c r="E107" s="24" t="s">
        <v>63</v>
      </c>
      <c r="F107" s="25">
        <f>' первое чтение вед стр-ра'!G453</f>
        <v>30000</v>
      </c>
      <c r="G107" s="25">
        <f>' первое чтение вед стр-ра'!H453</f>
        <v>30000</v>
      </c>
      <c r="H107" s="25">
        <f>' первое чтение вед стр-ра'!I453</f>
        <v>34651</v>
      </c>
    </row>
    <row r="108" spans="1:8" s="21" customFormat="1" ht="69" customHeight="1" x14ac:dyDescent="0.2">
      <c r="A108" s="18" t="s">
        <v>309</v>
      </c>
      <c r="B108" s="19" t="s">
        <v>17</v>
      </c>
      <c r="C108" s="19" t="s">
        <v>25</v>
      </c>
      <c r="D108" s="19" t="s">
        <v>313</v>
      </c>
      <c r="E108" s="19"/>
      <c r="F108" s="20">
        <f>F109</f>
        <v>1500</v>
      </c>
      <c r="G108" s="20">
        <f>G109</f>
        <v>0</v>
      </c>
      <c r="H108" s="20">
        <f>H109</f>
        <v>0</v>
      </c>
    </row>
    <row r="109" spans="1:8" s="26" customFormat="1" ht="25.5" customHeight="1" x14ac:dyDescent="0.2">
      <c r="A109" s="28" t="s">
        <v>119</v>
      </c>
      <c r="B109" s="24" t="s">
        <v>17</v>
      </c>
      <c r="C109" s="24" t="s">
        <v>25</v>
      </c>
      <c r="D109" s="24" t="s">
        <v>313</v>
      </c>
      <c r="E109" s="24" t="s">
        <v>63</v>
      </c>
      <c r="F109" s="25">
        <f>' первое чтение вед стр-ра'!G455</f>
        <v>1500</v>
      </c>
      <c r="G109" s="25">
        <f>' первое чтение вед стр-ра'!H455</f>
        <v>0</v>
      </c>
      <c r="H109" s="25">
        <f>' первое чтение вед стр-ра'!I455</f>
        <v>0</v>
      </c>
    </row>
    <row r="110" spans="1:8" s="66" customFormat="1" ht="25.5" customHeight="1" x14ac:dyDescent="0.2">
      <c r="A110" s="67" t="s">
        <v>245</v>
      </c>
      <c r="B110" s="69" t="s">
        <v>17</v>
      </c>
      <c r="C110" s="69" t="s">
        <v>25</v>
      </c>
      <c r="D110" s="69" t="s">
        <v>244</v>
      </c>
      <c r="E110" s="69"/>
      <c r="F110" s="70">
        <f>F111</f>
        <v>84184</v>
      </c>
      <c r="G110" s="70">
        <f>G111</f>
        <v>89779.5</v>
      </c>
      <c r="H110" s="70">
        <f>H111</f>
        <v>64769</v>
      </c>
    </row>
    <row r="111" spans="1:8" s="71" customFormat="1" ht="25.5" customHeight="1" x14ac:dyDescent="0.2">
      <c r="A111" s="79" t="s">
        <v>119</v>
      </c>
      <c r="B111" s="74" t="s">
        <v>17</v>
      </c>
      <c r="C111" s="74" t="s">
        <v>25</v>
      </c>
      <c r="D111" s="74" t="s">
        <v>244</v>
      </c>
      <c r="E111" s="74" t="s">
        <v>63</v>
      </c>
      <c r="F111" s="54">
        <f>' первое чтение вед стр-ра'!G457</f>
        <v>84184</v>
      </c>
      <c r="G111" s="54">
        <f>' первое чтение вед стр-ра'!H457</f>
        <v>89779.5</v>
      </c>
      <c r="H111" s="54">
        <f>' первое чтение вед стр-ра'!I457</f>
        <v>64769</v>
      </c>
    </row>
    <row r="112" spans="1:8" s="71" customFormat="1" ht="25.5" customHeight="1" x14ac:dyDescent="0.2">
      <c r="A112" s="67" t="s">
        <v>247</v>
      </c>
      <c r="B112" s="69" t="s">
        <v>17</v>
      </c>
      <c r="C112" s="69" t="s">
        <v>25</v>
      </c>
      <c r="D112" s="69" t="s">
        <v>246</v>
      </c>
      <c r="E112" s="69"/>
      <c r="F112" s="70">
        <f>F113</f>
        <v>14330</v>
      </c>
      <c r="G112" s="70">
        <f>G113</f>
        <v>14330</v>
      </c>
      <c r="H112" s="70">
        <f>H113</f>
        <v>12730</v>
      </c>
    </row>
    <row r="113" spans="1:8" s="71" customFormat="1" ht="25.5" customHeight="1" x14ac:dyDescent="0.2">
      <c r="A113" s="79" t="s">
        <v>119</v>
      </c>
      <c r="B113" s="74" t="s">
        <v>17</v>
      </c>
      <c r="C113" s="74" t="s">
        <v>25</v>
      </c>
      <c r="D113" s="74" t="s">
        <v>246</v>
      </c>
      <c r="E113" s="74" t="s">
        <v>63</v>
      </c>
      <c r="F113" s="54">
        <f>' первое чтение вед стр-ра'!G459</f>
        <v>14330</v>
      </c>
      <c r="G113" s="54">
        <f>' первое чтение вед стр-ра'!H459</f>
        <v>14330</v>
      </c>
      <c r="H113" s="54">
        <f>' первое чтение вед стр-ра'!I459</f>
        <v>12730</v>
      </c>
    </row>
    <row r="114" spans="1:8" ht="25.5" customHeight="1" x14ac:dyDescent="0.2">
      <c r="A114" s="17" t="s">
        <v>339</v>
      </c>
      <c r="B114" s="19" t="s">
        <v>17</v>
      </c>
      <c r="C114" s="19" t="s">
        <v>25</v>
      </c>
      <c r="D114" s="19" t="s">
        <v>338</v>
      </c>
      <c r="E114" s="19"/>
      <c r="F114" s="20">
        <f>' первое чтение вед стр-ра'!G460</f>
        <v>2269.5</v>
      </c>
      <c r="G114" s="20">
        <f>' первое чтение вед стр-ра'!H460</f>
        <v>0</v>
      </c>
      <c r="H114" s="20">
        <f>' первое чтение вед стр-ра'!I460</f>
        <v>0</v>
      </c>
    </row>
    <row r="115" spans="1:8" ht="25.5" customHeight="1" x14ac:dyDescent="0.2">
      <c r="A115" s="28" t="s">
        <v>74</v>
      </c>
      <c r="B115" s="24" t="s">
        <v>17</v>
      </c>
      <c r="C115" s="24" t="s">
        <v>25</v>
      </c>
      <c r="D115" s="19" t="s">
        <v>338</v>
      </c>
      <c r="E115" s="24" t="s">
        <v>66</v>
      </c>
      <c r="F115" s="20">
        <f>' первое чтение вед стр-ра'!G461</f>
        <v>2269.5</v>
      </c>
      <c r="G115" s="20">
        <f>' первое чтение вед стр-ра'!H461</f>
        <v>0</v>
      </c>
      <c r="H115" s="20">
        <f>' первое чтение вед стр-ра'!I461</f>
        <v>0</v>
      </c>
    </row>
    <row r="116" spans="1:8" s="76" customFormat="1" ht="12.75" customHeight="1" x14ac:dyDescent="0.2">
      <c r="A116" s="62" t="s">
        <v>27</v>
      </c>
      <c r="B116" s="64" t="s">
        <v>17</v>
      </c>
      <c r="C116" s="64" t="s">
        <v>22</v>
      </c>
      <c r="D116" s="64"/>
      <c r="E116" s="64"/>
      <c r="F116" s="65">
        <f>F121+F123+F117+F119+F125+F127+F129+F131+F133+F135</f>
        <v>2905</v>
      </c>
      <c r="G116" s="65">
        <f t="shared" ref="G116:H116" si="18">G121+G123+G117+G119+G125+G127+G129+G131+G133+G135</f>
        <v>0</v>
      </c>
      <c r="H116" s="65">
        <f t="shared" si="18"/>
        <v>0</v>
      </c>
    </row>
    <row r="117" spans="1:8" s="26" customFormat="1" ht="25.5" customHeight="1" x14ac:dyDescent="0.2">
      <c r="A117" s="18" t="s">
        <v>139</v>
      </c>
      <c r="B117" s="19" t="s">
        <v>17</v>
      </c>
      <c r="C117" s="19" t="s">
        <v>22</v>
      </c>
      <c r="D117" s="19" t="s">
        <v>138</v>
      </c>
      <c r="E117" s="19"/>
      <c r="F117" s="20">
        <f>F118</f>
        <v>203</v>
      </c>
      <c r="G117" s="20">
        <f>G118</f>
        <v>0</v>
      </c>
      <c r="H117" s="20">
        <f>H118</f>
        <v>0</v>
      </c>
    </row>
    <row r="118" spans="1:8" s="26" customFormat="1" ht="25.5" customHeight="1" x14ac:dyDescent="0.2">
      <c r="A118" s="28" t="s">
        <v>74</v>
      </c>
      <c r="B118" s="24" t="s">
        <v>17</v>
      </c>
      <c r="C118" s="24" t="s">
        <v>22</v>
      </c>
      <c r="D118" s="24" t="s">
        <v>138</v>
      </c>
      <c r="E118" s="27" t="s">
        <v>66</v>
      </c>
      <c r="F118" s="25">
        <f>' первое чтение вед стр-ра'!G74</f>
        <v>203</v>
      </c>
      <c r="G118" s="25">
        <f>' первое чтение вед стр-ра'!H74</f>
        <v>0</v>
      </c>
      <c r="H118" s="25">
        <f>' первое чтение вед стр-ра'!I74</f>
        <v>0</v>
      </c>
    </row>
    <row r="119" spans="1:8" s="26" customFormat="1" ht="25.5" customHeight="1" x14ac:dyDescent="0.2">
      <c r="A119" s="18" t="s">
        <v>551</v>
      </c>
      <c r="B119" s="24" t="s">
        <v>17</v>
      </c>
      <c r="C119" s="24" t="s">
        <v>22</v>
      </c>
      <c r="D119" s="24" t="s">
        <v>552</v>
      </c>
      <c r="E119" s="27"/>
      <c r="F119" s="25">
        <f>F120</f>
        <v>452</v>
      </c>
      <c r="G119" s="25">
        <f t="shared" ref="G119:H119" si="19">G120</f>
        <v>0</v>
      </c>
      <c r="H119" s="25">
        <f t="shared" si="19"/>
        <v>0</v>
      </c>
    </row>
    <row r="120" spans="1:8" s="26" customFormat="1" ht="12.75" customHeight="1" x14ac:dyDescent="0.2">
      <c r="A120" s="28" t="s">
        <v>70</v>
      </c>
      <c r="B120" s="24" t="s">
        <v>17</v>
      </c>
      <c r="C120" s="24" t="s">
        <v>22</v>
      </c>
      <c r="D120" s="24" t="s">
        <v>552</v>
      </c>
      <c r="E120" s="27" t="s">
        <v>71</v>
      </c>
      <c r="F120" s="25">
        <f>' первое чтение вед стр-ра'!G76</f>
        <v>452</v>
      </c>
      <c r="G120" s="25">
        <f>' первое чтение вед стр-ра'!H76</f>
        <v>0</v>
      </c>
      <c r="H120" s="25">
        <f>' первое чтение вед стр-ра'!I76</f>
        <v>0</v>
      </c>
    </row>
    <row r="121" spans="1:8" s="9" customFormat="1" ht="12.75" customHeight="1" x14ac:dyDescent="0.2">
      <c r="A121" s="18" t="s">
        <v>180</v>
      </c>
      <c r="B121" s="19" t="s">
        <v>17</v>
      </c>
      <c r="C121" s="19" t="s">
        <v>22</v>
      </c>
      <c r="D121" s="19" t="s">
        <v>179</v>
      </c>
      <c r="E121" s="19"/>
      <c r="F121" s="20">
        <f>F122</f>
        <v>1500</v>
      </c>
      <c r="G121" s="20">
        <f>G122</f>
        <v>0</v>
      </c>
      <c r="H121" s="20">
        <f>H122</f>
        <v>0</v>
      </c>
    </row>
    <row r="122" spans="1:8" s="21" customFormat="1" ht="25.5" customHeight="1" x14ac:dyDescent="0.2">
      <c r="A122" s="28" t="s">
        <v>74</v>
      </c>
      <c r="B122" s="24" t="s">
        <v>17</v>
      </c>
      <c r="C122" s="24" t="s">
        <v>22</v>
      </c>
      <c r="D122" s="24" t="s">
        <v>179</v>
      </c>
      <c r="E122" s="27" t="s">
        <v>66</v>
      </c>
      <c r="F122" s="25">
        <f>' первое чтение вед стр-ра'!G162</f>
        <v>1500</v>
      </c>
      <c r="G122" s="25">
        <f>' первое чтение вед стр-ра'!H162</f>
        <v>0</v>
      </c>
      <c r="H122" s="25">
        <f>' первое чтение вед стр-ра'!I162</f>
        <v>0</v>
      </c>
    </row>
    <row r="123" spans="1:8" s="26" customFormat="1" ht="38.25" customHeight="1" x14ac:dyDescent="0.2">
      <c r="A123" s="18" t="s">
        <v>181</v>
      </c>
      <c r="B123" s="19" t="s">
        <v>17</v>
      </c>
      <c r="C123" s="19" t="s">
        <v>22</v>
      </c>
      <c r="D123" s="19" t="s">
        <v>182</v>
      </c>
      <c r="E123" s="19"/>
      <c r="F123" s="20">
        <f>F124</f>
        <v>500</v>
      </c>
      <c r="G123" s="20">
        <f>G124</f>
        <v>0</v>
      </c>
      <c r="H123" s="20">
        <f>H124</f>
        <v>0</v>
      </c>
    </row>
    <row r="124" spans="1:8" s="9" customFormat="1" ht="25.5" customHeight="1" x14ac:dyDescent="0.2">
      <c r="A124" s="28" t="s">
        <v>74</v>
      </c>
      <c r="B124" s="24" t="s">
        <v>17</v>
      </c>
      <c r="C124" s="24" t="s">
        <v>22</v>
      </c>
      <c r="D124" s="24" t="s">
        <v>182</v>
      </c>
      <c r="E124" s="27" t="s">
        <v>66</v>
      </c>
      <c r="F124" s="25">
        <f>' первое чтение вед стр-ра'!G164</f>
        <v>500</v>
      </c>
      <c r="G124" s="25">
        <f>' первое чтение вед стр-ра'!H164</f>
        <v>0</v>
      </c>
      <c r="H124" s="25">
        <f>' первое чтение вед стр-ра'!I164</f>
        <v>0</v>
      </c>
    </row>
    <row r="125" spans="1:8" ht="30.75" customHeight="1" x14ac:dyDescent="0.2">
      <c r="A125" s="18" t="s">
        <v>590</v>
      </c>
      <c r="B125" s="19" t="s">
        <v>17</v>
      </c>
      <c r="C125" s="19" t="s">
        <v>22</v>
      </c>
      <c r="D125" s="19" t="s">
        <v>589</v>
      </c>
      <c r="E125" s="19"/>
      <c r="F125" s="20">
        <f>F126</f>
        <v>10</v>
      </c>
      <c r="G125" s="20">
        <f t="shared" ref="G125:H125" si="20">G126</f>
        <v>0</v>
      </c>
      <c r="H125" s="20">
        <f t="shared" si="20"/>
        <v>0</v>
      </c>
    </row>
    <row r="126" spans="1:8" s="26" customFormat="1" ht="30.75" customHeight="1" x14ac:dyDescent="0.2">
      <c r="A126" s="28" t="s">
        <v>119</v>
      </c>
      <c r="B126" s="24" t="s">
        <v>17</v>
      </c>
      <c r="C126" s="24" t="s">
        <v>22</v>
      </c>
      <c r="D126" s="24" t="s">
        <v>589</v>
      </c>
      <c r="E126" s="24" t="s">
        <v>63</v>
      </c>
      <c r="F126" s="25">
        <v>10</v>
      </c>
      <c r="G126" s="25">
        <v>0</v>
      </c>
      <c r="H126" s="25">
        <v>0</v>
      </c>
    </row>
    <row r="127" spans="1:8" ht="30.75" customHeight="1" x14ac:dyDescent="0.2">
      <c r="A127" s="18" t="s">
        <v>593</v>
      </c>
      <c r="B127" s="19" t="s">
        <v>17</v>
      </c>
      <c r="C127" s="19" t="s">
        <v>22</v>
      </c>
      <c r="D127" s="19" t="s">
        <v>591</v>
      </c>
      <c r="E127" s="19"/>
      <c r="F127" s="20">
        <f>F128</f>
        <v>10</v>
      </c>
      <c r="G127" s="20">
        <f t="shared" ref="G127:H127" si="21">G128</f>
        <v>0</v>
      </c>
      <c r="H127" s="20">
        <f t="shared" si="21"/>
        <v>0</v>
      </c>
    </row>
    <row r="128" spans="1:8" s="26" customFormat="1" ht="30.75" customHeight="1" x14ac:dyDescent="0.2">
      <c r="A128" s="28" t="s">
        <v>119</v>
      </c>
      <c r="B128" s="24" t="s">
        <v>17</v>
      </c>
      <c r="C128" s="24" t="s">
        <v>22</v>
      </c>
      <c r="D128" s="24" t="s">
        <v>592</v>
      </c>
      <c r="E128" s="24" t="s">
        <v>63</v>
      </c>
      <c r="F128" s="25">
        <v>10</v>
      </c>
      <c r="G128" s="25">
        <v>0</v>
      </c>
      <c r="H128" s="25">
        <v>0</v>
      </c>
    </row>
    <row r="129" spans="1:8" ht="30.75" customHeight="1" x14ac:dyDescent="0.2">
      <c r="A129" s="18" t="s">
        <v>595</v>
      </c>
      <c r="B129" s="19" t="s">
        <v>17</v>
      </c>
      <c r="C129" s="19" t="s">
        <v>22</v>
      </c>
      <c r="D129" s="19" t="s">
        <v>594</v>
      </c>
      <c r="E129" s="19"/>
      <c r="F129" s="20">
        <f>F130</f>
        <v>110</v>
      </c>
      <c r="G129" s="20">
        <f t="shared" ref="G129:H129" si="22">G130</f>
        <v>0</v>
      </c>
      <c r="H129" s="20">
        <f t="shared" si="22"/>
        <v>0</v>
      </c>
    </row>
    <row r="130" spans="1:8" s="26" customFormat="1" ht="30.75" customHeight="1" x14ac:dyDescent="0.2">
      <c r="A130" s="28" t="s">
        <v>119</v>
      </c>
      <c r="B130" s="24" t="s">
        <v>17</v>
      </c>
      <c r="C130" s="24" t="s">
        <v>22</v>
      </c>
      <c r="D130" s="24" t="s">
        <v>594</v>
      </c>
      <c r="E130" s="24" t="s">
        <v>63</v>
      </c>
      <c r="F130" s="25">
        <v>110</v>
      </c>
      <c r="G130" s="25">
        <v>0</v>
      </c>
      <c r="H130" s="25">
        <v>0</v>
      </c>
    </row>
    <row r="131" spans="1:8" ht="30.75" customHeight="1" x14ac:dyDescent="0.2">
      <c r="A131" s="18" t="s">
        <v>597</v>
      </c>
      <c r="B131" s="19" t="s">
        <v>17</v>
      </c>
      <c r="C131" s="19" t="s">
        <v>22</v>
      </c>
      <c r="D131" s="19" t="s">
        <v>596</v>
      </c>
      <c r="E131" s="19"/>
      <c r="F131" s="20">
        <f>F132</f>
        <v>106</v>
      </c>
      <c r="G131" s="20">
        <f t="shared" ref="G131:H131" si="23">G132</f>
        <v>0</v>
      </c>
      <c r="H131" s="20">
        <f t="shared" si="23"/>
        <v>0</v>
      </c>
    </row>
    <row r="132" spans="1:8" s="26" customFormat="1" ht="30.75" customHeight="1" x14ac:dyDescent="0.2">
      <c r="A132" s="28" t="s">
        <v>119</v>
      </c>
      <c r="B132" s="24" t="s">
        <v>17</v>
      </c>
      <c r="C132" s="24" t="s">
        <v>22</v>
      </c>
      <c r="D132" s="24" t="s">
        <v>596</v>
      </c>
      <c r="E132" s="24" t="s">
        <v>63</v>
      </c>
      <c r="F132" s="25">
        <v>106</v>
      </c>
      <c r="G132" s="25">
        <v>0</v>
      </c>
      <c r="H132" s="25">
        <v>0</v>
      </c>
    </row>
    <row r="133" spans="1:8" ht="30.75" customHeight="1" x14ac:dyDescent="0.2">
      <c r="A133" s="18" t="s">
        <v>598</v>
      </c>
      <c r="B133" s="19" t="s">
        <v>17</v>
      </c>
      <c r="C133" s="19" t="s">
        <v>22</v>
      </c>
      <c r="D133" s="19" t="s">
        <v>599</v>
      </c>
      <c r="E133" s="19"/>
      <c r="F133" s="20">
        <f>F134</f>
        <v>4</v>
      </c>
      <c r="G133" s="20">
        <f t="shared" ref="G133:H133" si="24">G134</f>
        <v>0</v>
      </c>
      <c r="H133" s="20">
        <f t="shared" si="24"/>
        <v>0</v>
      </c>
    </row>
    <row r="134" spans="1:8" s="26" customFormat="1" ht="30.75" customHeight="1" x14ac:dyDescent="0.2">
      <c r="A134" s="28" t="s">
        <v>119</v>
      </c>
      <c r="B134" s="24" t="s">
        <v>17</v>
      </c>
      <c r="C134" s="24" t="s">
        <v>22</v>
      </c>
      <c r="D134" s="24" t="s">
        <v>599</v>
      </c>
      <c r="E134" s="24" t="s">
        <v>63</v>
      </c>
      <c r="F134" s="25">
        <v>4</v>
      </c>
      <c r="G134" s="25">
        <v>0</v>
      </c>
      <c r="H134" s="25">
        <v>0</v>
      </c>
    </row>
    <row r="135" spans="1:8" ht="30.75" customHeight="1" x14ac:dyDescent="0.2">
      <c r="A135" s="18" t="s">
        <v>601</v>
      </c>
      <c r="B135" s="19" t="s">
        <v>17</v>
      </c>
      <c r="C135" s="19" t="s">
        <v>22</v>
      </c>
      <c r="D135" s="19" t="s">
        <v>600</v>
      </c>
      <c r="E135" s="19"/>
      <c r="F135" s="20">
        <f>F136</f>
        <v>10</v>
      </c>
      <c r="G135" s="20">
        <f t="shared" ref="G135:H135" si="25">G136</f>
        <v>0</v>
      </c>
      <c r="H135" s="20">
        <f t="shared" si="25"/>
        <v>0</v>
      </c>
    </row>
    <row r="136" spans="1:8" s="26" customFormat="1" ht="30.75" customHeight="1" x14ac:dyDescent="0.2">
      <c r="A136" s="28" t="s">
        <v>119</v>
      </c>
      <c r="B136" s="24" t="s">
        <v>17</v>
      </c>
      <c r="C136" s="24" t="s">
        <v>22</v>
      </c>
      <c r="D136" s="24" t="s">
        <v>600</v>
      </c>
      <c r="E136" s="24" t="s">
        <v>63</v>
      </c>
      <c r="F136" s="25">
        <v>10</v>
      </c>
      <c r="G136" s="25">
        <v>0</v>
      </c>
      <c r="H136" s="25">
        <v>0</v>
      </c>
    </row>
    <row r="137" spans="1:8" s="21" customFormat="1" ht="15.75" customHeight="1" x14ac:dyDescent="0.25">
      <c r="A137" s="121" t="s">
        <v>28</v>
      </c>
      <c r="B137" s="120" t="s">
        <v>29</v>
      </c>
      <c r="C137" s="120" t="s">
        <v>352</v>
      </c>
      <c r="D137" s="120"/>
      <c r="E137" s="120"/>
      <c r="F137" s="175">
        <f>F138+F151+F168+F182</f>
        <v>292939.69999999995</v>
      </c>
      <c r="G137" s="175">
        <f>G138+G151+G168+G182</f>
        <v>33401.800000000003</v>
      </c>
      <c r="H137" s="175">
        <f>H138+H151+H168+H182</f>
        <v>28289.100000000002</v>
      </c>
    </row>
    <row r="138" spans="1:8" s="76" customFormat="1" ht="12.75" customHeight="1" x14ac:dyDescent="0.2">
      <c r="A138" s="62" t="s">
        <v>30</v>
      </c>
      <c r="B138" s="64" t="s">
        <v>29</v>
      </c>
      <c r="C138" s="64" t="s">
        <v>11</v>
      </c>
      <c r="D138" s="64"/>
      <c r="E138" s="64"/>
      <c r="F138" s="65">
        <f>F143+F145+F149+F147+F139+F141</f>
        <v>14493.800000000001</v>
      </c>
      <c r="G138" s="65">
        <f t="shared" ref="G138:H138" si="26">G143+G145+G149+G147+G139+G141</f>
        <v>0</v>
      </c>
      <c r="H138" s="65">
        <f t="shared" si="26"/>
        <v>0</v>
      </c>
    </row>
    <row r="139" spans="1:8" s="71" customFormat="1" ht="12.75" customHeight="1" x14ac:dyDescent="0.2">
      <c r="A139" s="67" t="s">
        <v>317</v>
      </c>
      <c r="B139" s="69" t="s">
        <v>29</v>
      </c>
      <c r="C139" s="69" t="s">
        <v>11</v>
      </c>
      <c r="D139" s="19" t="s">
        <v>560</v>
      </c>
      <c r="E139" s="91"/>
      <c r="F139" s="70">
        <f>F140</f>
        <v>1277</v>
      </c>
      <c r="G139" s="54">
        <v>0</v>
      </c>
      <c r="H139" s="54">
        <v>0</v>
      </c>
    </row>
    <row r="140" spans="1:8" s="76" customFormat="1" ht="25.5" customHeight="1" x14ac:dyDescent="0.2">
      <c r="A140" s="79" t="s">
        <v>80</v>
      </c>
      <c r="B140" s="74" t="s">
        <v>29</v>
      </c>
      <c r="C140" s="74" t="s">
        <v>11</v>
      </c>
      <c r="D140" s="19" t="s">
        <v>560</v>
      </c>
      <c r="E140" s="75" t="s">
        <v>69</v>
      </c>
      <c r="F140" s="54">
        <f>' первое чтение вед стр-ра'!G80</f>
        <v>1277</v>
      </c>
      <c r="G140" s="54">
        <f>' первое чтение вед стр-ра'!H80</f>
        <v>0</v>
      </c>
      <c r="H140" s="54">
        <f>' первое чтение вед стр-ра'!I80</f>
        <v>0</v>
      </c>
    </row>
    <row r="141" spans="1:8" s="26" customFormat="1" ht="25.5" customHeight="1" x14ac:dyDescent="0.2">
      <c r="A141" s="28" t="s">
        <v>307</v>
      </c>
      <c r="B141" s="24" t="s">
        <v>29</v>
      </c>
      <c r="C141" s="24" t="s">
        <v>11</v>
      </c>
      <c r="D141" s="27" t="s">
        <v>308</v>
      </c>
      <c r="E141" s="25"/>
      <c r="F141" s="25">
        <f>F142</f>
        <v>1500</v>
      </c>
      <c r="G141" s="25">
        <f t="shared" ref="G141:H141" si="27">G142</f>
        <v>0</v>
      </c>
      <c r="H141" s="25">
        <f t="shared" si="27"/>
        <v>0</v>
      </c>
    </row>
    <row r="142" spans="1:8" s="26" customFormat="1" ht="25.5" customHeight="1" x14ac:dyDescent="0.2">
      <c r="A142" s="28" t="s">
        <v>74</v>
      </c>
      <c r="B142" s="24" t="s">
        <v>29</v>
      </c>
      <c r="C142" s="24" t="s">
        <v>11</v>
      </c>
      <c r="D142" s="27" t="s">
        <v>308</v>
      </c>
      <c r="E142" s="25" t="s">
        <v>66</v>
      </c>
      <c r="F142" s="25">
        <f>' первое чтение вед стр-ра'!G467</f>
        <v>1500</v>
      </c>
      <c r="G142" s="25">
        <f>' первое чтение вед стр-ра'!H467</f>
        <v>0</v>
      </c>
      <c r="H142" s="25">
        <f>' первое чтение вед стр-ра'!I467</f>
        <v>0</v>
      </c>
    </row>
    <row r="143" spans="1:8" s="21" customFormat="1" ht="12.75" customHeight="1" x14ac:dyDescent="0.2">
      <c r="A143" s="18" t="s">
        <v>142</v>
      </c>
      <c r="B143" s="19" t="s">
        <v>29</v>
      </c>
      <c r="C143" s="19" t="s">
        <v>11</v>
      </c>
      <c r="D143" s="19" t="s">
        <v>141</v>
      </c>
      <c r="E143" s="19"/>
      <c r="F143" s="20">
        <f>F144</f>
        <v>194.5</v>
      </c>
      <c r="G143" s="20">
        <f t="shared" ref="G143:H143" si="28">G144</f>
        <v>0</v>
      </c>
      <c r="H143" s="20">
        <f t="shared" si="28"/>
        <v>0</v>
      </c>
    </row>
    <row r="144" spans="1:8" s="21" customFormat="1" ht="25.5" customHeight="1" x14ac:dyDescent="0.2">
      <c r="A144" s="28" t="s">
        <v>80</v>
      </c>
      <c r="B144" s="24" t="s">
        <v>29</v>
      </c>
      <c r="C144" s="24" t="s">
        <v>11</v>
      </c>
      <c r="D144" s="19" t="s">
        <v>141</v>
      </c>
      <c r="E144" s="24" t="s">
        <v>69</v>
      </c>
      <c r="F144" s="54">
        <f>' первое чтение вед стр-ра'!G82</f>
        <v>194.5</v>
      </c>
      <c r="G144" s="54">
        <f>' первое чтение вед стр-ра'!H82</f>
        <v>0</v>
      </c>
      <c r="H144" s="54">
        <f>' первое чтение вед стр-ра'!I82</f>
        <v>0</v>
      </c>
    </row>
    <row r="145" spans="1:8" s="71" customFormat="1" ht="12.75" customHeight="1" x14ac:dyDescent="0.2">
      <c r="A145" s="67" t="s">
        <v>144</v>
      </c>
      <c r="B145" s="69" t="s">
        <v>29</v>
      </c>
      <c r="C145" s="69" t="s">
        <v>11</v>
      </c>
      <c r="D145" s="74" t="s">
        <v>143</v>
      </c>
      <c r="E145" s="69"/>
      <c r="F145" s="70">
        <f>+F146</f>
        <v>8327.2000000000007</v>
      </c>
      <c r="G145" s="70">
        <f t="shared" ref="G145:H145" si="29">+G146</f>
        <v>0</v>
      </c>
      <c r="H145" s="70">
        <f t="shared" si="29"/>
        <v>0</v>
      </c>
    </row>
    <row r="146" spans="1:8" s="21" customFormat="1" ht="25.5" customHeight="1" x14ac:dyDescent="0.2">
      <c r="A146" s="28" t="s">
        <v>74</v>
      </c>
      <c r="B146" s="19" t="s">
        <v>29</v>
      </c>
      <c r="C146" s="19" t="s">
        <v>11</v>
      </c>
      <c r="D146" s="24" t="s">
        <v>143</v>
      </c>
      <c r="E146" s="24" t="s">
        <v>66</v>
      </c>
      <c r="F146" s="25">
        <f>' первое чтение вед стр-ра'!G84</f>
        <v>8327.2000000000007</v>
      </c>
      <c r="G146" s="25">
        <f>' первое чтение вед стр-ра'!H84</f>
        <v>0</v>
      </c>
      <c r="H146" s="25">
        <f>' первое чтение вед стр-ра'!I84</f>
        <v>0</v>
      </c>
    </row>
    <row r="147" spans="1:8" s="21" customFormat="1" ht="25.5" customHeight="1" x14ac:dyDescent="0.2">
      <c r="A147" s="18" t="s">
        <v>183</v>
      </c>
      <c r="B147" s="19" t="s">
        <v>29</v>
      </c>
      <c r="C147" s="19" t="s">
        <v>11</v>
      </c>
      <c r="D147" s="19" t="s">
        <v>184</v>
      </c>
      <c r="E147" s="19"/>
      <c r="F147" s="20">
        <f>F148</f>
        <v>1201.0999999999999</v>
      </c>
      <c r="G147" s="20">
        <f>G148</f>
        <v>0</v>
      </c>
      <c r="H147" s="20">
        <f>H148</f>
        <v>0</v>
      </c>
    </row>
    <row r="148" spans="1:8" s="21" customFormat="1" ht="25.5" customHeight="1" x14ac:dyDescent="0.2">
      <c r="A148" s="28" t="s">
        <v>74</v>
      </c>
      <c r="B148" s="24" t="s">
        <v>29</v>
      </c>
      <c r="C148" s="24" t="s">
        <v>11</v>
      </c>
      <c r="D148" s="24" t="s">
        <v>184</v>
      </c>
      <c r="E148" s="24" t="s">
        <v>66</v>
      </c>
      <c r="F148" s="25">
        <f>' первое чтение вед стр-ра'!G168</f>
        <v>1201.0999999999999</v>
      </c>
      <c r="G148" s="25">
        <f>' первое чтение вед стр-ра'!H168</f>
        <v>0</v>
      </c>
      <c r="H148" s="25">
        <f>' первое чтение вед стр-ра'!I168</f>
        <v>0</v>
      </c>
    </row>
    <row r="149" spans="1:8" s="21" customFormat="1" ht="12.75" customHeight="1" x14ac:dyDescent="0.2">
      <c r="A149" s="18" t="s">
        <v>326</v>
      </c>
      <c r="B149" s="19" t="s">
        <v>29</v>
      </c>
      <c r="C149" s="19" t="s">
        <v>11</v>
      </c>
      <c r="D149" s="19" t="s">
        <v>327</v>
      </c>
      <c r="E149" s="19"/>
      <c r="F149" s="20">
        <f>F150</f>
        <v>1994</v>
      </c>
      <c r="G149" s="20">
        <f>G150</f>
        <v>0</v>
      </c>
      <c r="H149" s="20">
        <f>H150</f>
        <v>0</v>
      </c>
    </row>
    <row r="150" spans="1:8" s="21" customFormat="1" ht="25.5" customHeight="1" x14ac:dyDescent="0.2">
      <c r="A150" s="18" t="s">
        <v>74</v>
      </c>
      <c r="B150" s="24" t="s">
        <v>29</v>
      </c>
      <c r="C150" s="24" t="s">
        <v>11</v>
      </c>
      <c r="D150" s="24" t="s">
        <v>327</v>
      </c>
      <c r="E150" s="24" t="s">
        <v>66</v>
      </c>
      <c r="F150" s="25">
        <f>' первое чтение вед стр-ра'!G465</f>
        <v>1994</v>
      </c>
      <c r="G150" s="25">
        <f>' первое чтение вед стр-ра'!H465</f>
        <v>0</v>
      </c>
      <c r="H150" s="25">
        <f>' первое чтение вед стр-ра'!I465</f>
        <v>0</v>
      </c>
    </row>
    <row r="151" spans="1:8" s="71" customFormat="1" ht="12.75" customHeight="1" x14ac:dyDescent="0.2">
      <c r="A151" s="62" t="s">
        <v>31</v>
      </c>
      <c r="B151" s="64" t="s">
        <v>29</v>
      </c>
      <c r="C151" s="64" t="s">
        <v>13</v>
      </c>
      <c r="D151" s="64"/>
      <c r="E151" s="64"/>
      <c r="F151" s="65">
        <f>F152+F158+F160+F162+F156+F164+F166+F154</f>
        <v>238894.2</v>
      </c>
      <c r="G151" s="65">
        <f t="shared" ref="G151:H151" si="30">G152+G158+G160+G162+G156+G164+G166+G154</f>
        <v>0</v>
      </c>
      <c r="H151" s="65">
        <f t="shared" si="30"/>
        <v>0</v>
      </c>
    </row>
    <row r="152" spans="1:8" s="71" customFormat="1" ht="25.5" customHeight="1" x14ac:dyDescent="0.2">
      <c r="A152" s="81" t="s">
        <v>249</v>
      </c>
      <c r="B152" s="69" t="s">
        <v>29</v>
      </c>
      <c r="C152" s="69" t="s">
        <v>13</v>
      </c>
      <c r="D152" s="69" t="s">
        <v>248</v>
      </c>
      <c r="E152" s="69"/>
      <c r="F152" s="70">
        <f>+F153</f>
        <v>940.9</v>
      </c>
      <c r="G152" s="70">
        <f t="shared" ref="G152:H152" si="31">+G153</f>
        <v>0</v>
      </c>
      <c r="H152" s="70">
        <f t="shared" si="31"/>
        <v>0</v>
      </c>
    </row>
    <row r="153" spans="1:8" s="21" customFormat="1" ht="25.5" customHeight="1" x14ac:dyDescent="0.2">
      <c r="A153" s="28" t="s">
        <v>74</v>
      </c>
      <c r="B153" s="24" t="s">
        <v>29</v>
      </c>
      <c r="C153" s="24" t="s">
        <v>13</v>
      </c>
      <c r="D153" s="24" t="s">
        <v>248</v>
      </c>
      <c r="E153" s="24" t="s">
        <v>66</v>
      </c>
      <c r="F153" s="25">
        <f>' первое чтение вед стр-ра'!G470</f>
        <v>940.9</v>
      </c>
      <c r="G153" s="25">
        <f>' первое чтение вед стр-ра'!H470</f>
        <v>0</v>
      </c>
      <c r="H153" s="25">
        <f>' первое чтение вед стр-ра'!I470</f>
        <v>0</v>
      </c>
    </row>
    <row r="154" spans="1:8" ht="25.5" customHeight="1" x14ac:dyDescent="0.2">
      <c r="A154" s="18" t="s">
        <v>580</v>
      </c>
      <c r="B154" s="19" t="s">
        <v>29</v>
      </c>
      <c r="C154" s="19" t="s">
        <v>13</v>
      </c>
      <c r="D154" s="19" t="s">
        <v>581</v>
      </c>
      <c r="E154" s="19"/>
      <c r="F154" s="25">
        <f>F155</f>
        <v>1000</v>
      </c>
      <c r="G154" s="25">
        <f t="shared" ref="G154:H154" si="32">G155</f>
        <v>0</v>
      </c>
      <c r="H154" s="25">
        <f t="shared" si="32"/>
        <v>0</v>
      </c>
    </row>
    <row r="155" spans="1:8" ht="25.5" customHeight="1" x14ac:dyDescent="0.2">
      <c r="A155" s="28" t="s">
        <v>74</v>
      </c>
      <c r="B155" s="24" t="s">
        <v>29</v>
      </c>
      <c r="C155" s="24" t="s">
        <v>13</v>
      </c>
      <c r="D155" s="24" t="s">
        <v>581</v>
      </c>
      <c r="E155" s="24" t="s">
        <v>66</v>
      </c>
      <c r="F155" s="25">
        <f>' первое чтение вед стр-ра'!G472</f>
        <v>1000</v>
      </c>
      <c r="G155" s="25">
        <f>' первое чтение вед стр-ра'!H472</f>
        <v>0</v>
      </c>
      <c r="H155" s="25">
        <f>' первое чтение вед стр-ра'!I472</f>
        <v>0</v>
      </c>
    </row>
    <row r="156" spans="1:8" s="80" customFormat="1" ht="18" customHeight="1" x14ac:dyDescent="0.2">
      <c r="A156" s="81" t="s">
        <v>291</v>
      </c>
      <c r="B156" s="69" t="s">
        <v>29</v>
      </c>
      <c r="C156" s="69" t="s">
        <v>13</v>
      </c>
      <c r="D156" s="69" t="s">
        <v>290</v>
      </c>
      <c r="E156" s="69"/>
      <c r="F156" s="70">
        <f>F157</f>
        <v>2149.1</v>
      </c>
      <c r="G156" s="70">
        <f>G157</f>
        <v>0</v>
      </c>
      <c r="H156" s="70">
        <f>H157</f>
        <v>0</v>
      </c>
    </row>
    <row r="157" spans="1:8" s="80" customFormat="1" ht="25.5" customHeight="1" x14ac:dyDescent="0.2">
      <c r="A157" s="79" t="s">
        <v>74</v>
      </c>
      <c r="B157" s="74" t="s">
        <v>29</v>
      </c>
      <c r="C157" s="74" t="s">
        <v>13</v>
      </c>
      <c r="D157" s="74" t="s">
        <v>290</v>
      </c>
      <c r="E157" s="74" t="s">
        <v>66</v>
      </c>
      <c r="F157" s="54">
        <f>' первое чтение вед стр-ра'!G474</f>
        <v>2149.1</v>
      </c>
      <c r="G157" s="54">
        <f>' первое чтение вед стр-ра'!H474</f>
        <v>0</v>
      </c>
      <c r="H157" s="54">
        <f>' первое чтение вед стр-ра'!I474</f>
        <v>0</v>
      </c>
    </row>
    <row r="158" spans="1:8" s="21" customFormat="1" ht="54.75" customHeight="1" x14ac:dyDescent="0.2">
      <c r="A158" s="18" t="s">
        <v>404</v>
      </c>
      <c r="B158" s="19" t="s">
        <v>29</v>
      </c>
      <c r="C158" s="19" t="s">
        <v>13</v>
      </c>
      <c r="D158" s="19" t="s">
        <v>250</v>
      </c>
      <c r="E158" s="19"/>
      <c r="F158" s="20">
        <f>F159</f>
        <v>169886.5</v>
      </c>
      <c r="G158" s="20">
        <f>G159</f>
        <v>0</v>
      </c>
      <c r="H158" s="20">
        <f>H159</f>
        <v>0</v>
      </c>
    </row>
    <row r="159" spans="1:8" s="71" customFormat="1" ht="12.75" customHeight="1" x14ac:dyDescent="0.2">
      <c r="A159" s="79" t="s">
        <v>70</v>
      </c>
      <c r="B159" s="74" t="s">
        <v>29</v>
      </c>
      <c r="C159" s="74" t="s">
        <v>13</v>
      </c>
      <c r="D159" s="74" t="s">
        <v>250</v>
      </c>
      <c r="E159" s="74" t="s">
        <v>71</v>
      </c>
      <c r="F159" s="54">
        <f>' первое чтение вед стр-ра'!G476</f>
        <v>169886.5</v>
      </c>
      <c r="G159" s="54">
        <f>' первое чтение вед стр-ра'!H476</f>
        <v>0</v>
      </c>
      <c r="H159" s="54">
        <f>' первое чтение вед стр-ра'!I476</f>
        <v>0</v>
      </c>
    </row>
    <row r="160" spans="1:8" s="21" customFormat="1" ht="63.75" customHeight="1" x14ac:dyDescent="0.2">
      <c r="A160" s="17" t="s">
        <v>402</v>
      </c>
      <c r="B160" s="19" t="s">
        <v>29</v>
      </c>
      <c r="C160" s="19" t="s">
        <v>13</v>
      </c>
      <c r="D160" s="19" t="s">
        <v>252</v>
      </c>
      <c r="E160" s="19"/>
      <c r="F160" s="20">
        <f>F161</f>
        <v>13355.2</v>
      </c>
      <c r="G160" s="20">
        <f>G161</f>
        <v>0</v>
      </c>
      <c r="H160" s="20">
        <f>H161</f>
        <v>0</v>
      </c>
    </row>
    <row r="161" spans="1:8" s="21" customFormat="1" ht="12.75" customHeight="1" x14ac:dyDescent="0.2">
      <c r="A161" s="28" t="s">
        <v>70</v>
      </c>
      <c r="B161" s="24" t="s">
        <v>29</v>
      </c>
      <c r="C161" s="24" t="s">
        <v>13</v>
      </c>
      <c r="D161" s="24" t="s">
        <v>252</v>
      </c>
      <c r="E161" s="24" t="s">
        <v>71</v>
      </c>
      <c r="F161" s="25">
        <f>' первое чтение вед стр-ра'!G478</f>
        <v>13355.2</v>
      </c>
      <c r="G161" s="25">
        <f>' первое чтение вед стр-ра'!H478</f>
        <v>0</v>
      </c>
      <c r="H161" s="25">
        <f>' первое чтение вед стр-ра'!I478</f>
        <v>0</v>
      </c>
    </row>
    <row r="162" spans="1:8" s="21" customFormat="1" ht="38.25" customHeight="1" x14ac:dyDescent="0.2">
      <c r="A162" s="18" t="s">
        <v>255</v>
      </c>
      <c r="B162" s="19" t="s">
        <v>29</v>
      </c>
      <c r="C162" s="19" t="s">
        <v>13</v>
      </c>
      <c r="D162" s="19" t="s">
        <v>254</v>
      </c>
      <c r="E162" s="19"/>
      <c r="F162" s="20">
        <f>F163</f>
        <v>2590.5</v>
      </c>
      <c r="G162" s="20">
        <f>G163</f>
        <v>0</v>
      </c>
      <c r="H162" s="20">
        <f>H163</f>
        <v>0</v>
      </c>
    </row>
    <row r="163" spans="1:8" s="21" customFormat="1" ht="12.75" customHeight="1" x14ac:dyDescent="0.2">
      <c r="A163" s="28" t="s">
        <v>70</v>
      </c>
      <c r="B163" s="24" t="s">
        <v>29</v>
      </c>
      <c r="C163" s="24" t="s">
        <v>13</v>
      </c>
      <c r="D163" s="24" t="s">
        <v>254</v>
      </c>
      <c r="E163" s="24" t="s">
        <v>71</v>
      </c>
      <c r="F163" s="25">
        <f>' первое чтение вед стр-ра'!G480</f>
        <v>2590.5</v>
      </c>
      <c r="G163" s="25">
        <f>' первое чтение вед стр-ра'!H480</f>
        <v>0</v>
      </c>
      <c r="H163" s="25">
        <f>' первое чтение вед стр-ра'!I480</f>
        <v>0</v>
      </c>
    </row>
    <row r="164" spans="1:8" ht="63.75" customHeight="1" x14ac:dyDescent="0.2">
      <c r="A164" s="18" t="s">
        <v>567</v>
      </c>
      <c r="B164" s="19" t="s">
        <v>29</v>
      </c>
      <c r="C164" s="19" t="s">
        <v>13</v>
      </c>
      <c r="D164" s="19" t="s">
        <v>558</v>
      </c>
      <c r="E164" s="19"/>
      <c r="F164" s="20">
        <f t="shared" ref="F164:H164" si="33">F165</f>
        <v>44670</v>
      </c>
      <c r="G164" s="20">
        <f t="shared" si="33"/>
        <v>0</v>
      </c>
      <c r="H164" s="20">
        <f t="shared" si="33"/>
        <v>0</v>
      </c>
    </row>
    <row r="165" spans="1:8" s="26" customFormat="1" ht="12.75" customHeight="1" x14ac:dyDescent="0.2">
      <c r="A165" s="28" t="s">
        <v>70</v>
      </c>
      <c r="B165" s="24" t="s">
        <v>29</v>
      </c>
      <c r="C165" s="24" t="s">
        <v>13</v>
      </c>
      <c r="D165" s="24" t="s">
        <v>558</v>
      </c>
      <c r="E165" s="24" t="s">
        <v>71</v>
      </c>
      <c r="F165" s="25">
        <f>' первое чтение вед стр-ра'!G482</f>
        <v>44670</v>
      </c>
      <c r="G165" s="25">
        <f>' первое чтение вед стр-ра'!H482</f>
        <v>0</v>
      </c>
      <c r="H165" s="25">
        <f>' первое чтение вед стр-ра'!I482</f>
        <v>0</v>
      </c>
    </row>
    <row r="166" spans="1:8" s="26" customFormat="1" ht="25.5" customHeight="1" x14ac:dyDescent="0.2">
      <c r="A166" s="28" t="s">
        <v>565</v>
      </c>
      <c r="B166" s="24" t="s">
        <v>29</v>
      </c>
      <c r="C166" s="24" t="s">
        <v>13</v>
      </c>
      <c r="D166" s="24" t="s">
        <v>564</v>
      </c>
      <c r="E166" s="25"/>
      <c r="F166" s="25">
        <f>F167</f>
        <v>4302</v>
      </c>
      <c r="G166" s="25">
        <f t="shared" ref="G166:H166" si="34">G167</f>
        <v>0</v>
      </c>
      <c r="H166" s="25">
        <f t="shared" si="34"/>
        <v>0</v>
      </c>
    </row>
    <row r="167" spans="1:8" s="26" customFormat="1" ht="12.75" customHeight="1" x14ac:dyDescent="0.2">
      <c r="A167" s="28" t="s">
        <v>70</v>
      </c>
      <c r="B167" s="24" t="s">
        <v>29</v>
      </c>
      <c r="C167" s="24" t="s">
        <v>13</v>
      </c>
      <c r="D167" s="24" t="s">
        <v>564</v>
      </c>
      <c r="E167" s="25" t="s">
        <v>71</v>
      </c>
      <c r="F167" s="25">
        <f>' первое чтение вед стр-ра'!G484</f>
        <v>4302</v>
      </c>
      <c r="G167" s="25">
        <f>' первое чтение вед стр-ра'!H484</f>
        <v>0</v>
      </c>
      <c r="H167" s="25">
        <f>' первое чтение вед стр-ра'!I484</f>
        <v>0</v>
      </c>
    </row>
    <row r="168" spans="1:8" s="71" customFormat="1" ht="12.75" customHeight="1" x14ac:dyDescent="0.2">
      <c r="A168" s="62" t="s">
        <v>33</v>
      </c>
      <c r="B168" s="64" t="s">
        <v>29</v>
      </c>
      <c r="C168" s="64" t="s">
        <v>15</v>
      </c>
      <c r="D168" s="64"/>
      <c r="E168" s="64"/>
      <c r="F168" s="65">
        <f>F172+F174+F176+F178+F169+F180</f>
        <v>18524.599999999999</v>
      </c>
      <c r="G168" s="65">
        <f t="shared" ref="G168:H168" si="35">G172+G174+G176+G178+G169+G180</f>
        <v>13600</v>
      </c>
      <c r="H168" s="65">
        <f t="shared" si="35"/>
        <v>8704.2999999999993</v>
      </c>
    </row>
    <row r="169" spans="1:8" s="7" customFormat="1" ht="25.5" customHeight="1" x14ac:dyDescent="0.2">
      <c r="A169" s="81" t="s">
        <v>339</v>
      </c>
      <c r="B169" s="19" t="s">
        <v>29</v>
      </c>
      <c r="C169" s="19" t="s">
        <v>15</v>
      </c>
      <c r="D169" s="69" t="s">
        <v>338</v>
      </c>
      <c r="E169" s="19"/>
      <c r="F169" s="20">
        <f>F171+F170</f>
        <v>842</v>
      </c>
      <c r="G169" s="20">
        <f t="shared" ref="G169:H169" si="36">G171+G170</f>
        <v>0</v>
      </c>
      <c r="H169" s="20">
        <f t="shared" si="36"/>
        <v>0</v>
      </c>
    </row>
    <row r="170" spans="1:8" s="7" customFormat="1" ht="25.5" customHeight="1" x14ac:dyDescent="0.2">
      <c r="A170" s="28" t="s">
        <v>74</v>
      </c>
      <c r="B170" s="24" t="s">
        <v>29</v>
      </c>
      <c r="C170" s="24" t="s">
        <v>15</v>
      </c>
      <c r="D170" s="69" t="s">
        <v>338</v>
      </c>
      <c r="E170" s="24" t="s">
        <v>66</v>
      </c>
      <c r="F170" s="54">
        <f>' первое чтение вед стр-ра'!G487</f>
        <v>321.5</v>
      </c>
      <c r="G170" s="54">
        <f>' первое чтение вед стр-ра'!H487</f>
        <v>0</v>
      </c>
      <c r="H170" s="54">
        <f>' первое чтение вед стр-ра'!I487</f>
        <v>0</v>
      </c>
    </row>
    <row r="171" spans="1:8" s="7" customFormat="1" ht="25.5" customHeight="1" x14ac:dyDescent="0.2">
      <c r="A171" s="28" t="s">
        <v>119</v>
      </c>
      <c r="B171" s="24" t="s">
        <v>29</v>
      </c>
      <c r="C171" s="24" t="s">
        <v>15</v>
      </c>
      <c r="D171" s="69" t="s">
        <v>338</v>
      </c>
      <c r="E171" s="24" t="s">
        <v>63</v>
      </c>
      <c r="F171" s="54">
        <f>' первое чтение вед стр-ра'!G488</f>
        <v>520.5</v>
      </c>
      <c r="G171" s="54">
        <f>' первое чтение вед стр-ра'!H488</f>
        <v>0</v>
      </c>
      <c r="H171" s="54">
        <f>' первое чтение вед стр-ра'!I488</f>
        <v>0</v>
      </c>
    </row>
    <row r="172" spans="1:8" s="71" customFormat="1" ht="12.75" customHeight="1" x14ac:dyDescent="0.2">
      <c r="A172" s="67" t="s">
        <v>257</v>
      </c>
      <c r="B172" s="69" t="s">
        <v>29</v>
      </c>
      <c r="C172" s="69" t="s">
        <v>15</v>
      </c>
      <c r="D172" s="69" t="s">
        <v>256</v>
      </c>
      <c r="E172" s="69"/>
      <c r="F172" s="70">
        <f>F173</f>
        <v>650</v>
      </c>
      <c r="G172" s="70">
        <f>G173</f>
        <v>650</v>
      </c>
      <c r="H172" s="70">
        <f>H173</f>
        <v>650</v>
      </c>
    </row>
    <row r="173" spans="1:8" s="71" customFormat="1" ht="25.5" customHeight="1" x14ac:dyDescent="0.2">
      <c r="A173" s="79" t="s">
        <v>119</v>
      </c>
      <c r="B173" s="74" t="s">
        <v>29</v>
      </c>
      <c r="C173" s="74" t="s">
        <v>15</v>
      </c>
      <c r="D173" s="74" t="s">
        <v>256</v>
      </c>
      <c r="E173" s="74" t="s">
        <v>63</v>
      </c>
      <c r="F173" s="54">
        <f>' первое чтение вед стр-ра'!G490</f>
        <v>650</v>
      </c>
      <c r="G173" s="54">
        <f>' первое чтение вед стр-ра'!H490</f>
        <v>650</v>
      </c>
      <c r="H173" s="54">
        <f>' первое чтение вед стр-ра'!I490</f>
        <v>650</v>
      </c>
    </row>
    <row r="174" spans="1:8" s="21" customFormat="1" ht="25.5" customHeight="1" x14ac:dyDescent="0.2">
      <c r="A174" s="18" t="s">
        <v>258</v>
      </c>
      <c r="B174" s="19" t="s">
        <v>29</v>
      </c>
      <c r="C174" s="19" t="s">
        <v>15</v>
      </c>
      <c r="D174" s="19" t="s">
        <v>531</v>
      </c>
      <c r="E174" s="19"/>
      <c r="F174" s="20">
        <f>F175</f>
        <v>3500</v>
      </c>
      <c r="G174" s="20">
        <f>G175</f>
        <v>3500</v>
      </c>
      <c r="H174" s="20">
        <f>H175</f>
        <v>2000</v>
      </c>
    </row>
    <row r="175" spans="1:8" s="21" customFormat="1" ht="25.5" customHeight="1" x14ac:dyDescent="0.2">
      <c r="A175" s="28" t="s">
        <v>119</v>
      </c>
      <c r="B175" s="24" t="s">
        <v>29</v>
      </c>
      <c r="C175" s="24" t="s">
        <v>15</v>
      </c>
      <c r="D175" s="24" t="s">
        <v>259</v>
      </c>
      <c r="E175" s="24" t="s">
        <v>63</v>
      </c>
      <c r="F175" s="25">
        <f>' первое чтение вед стр-ра'!G492</f>
        <v>3500</v>
      </c>
      <c r="G175" s="25">
        <f>' первое чтение вед стр-ра'!H492</f>
        <v>3500</v>
      </c>
      <c r="H175" s="25">
        <f>' первое чтение вед стр-ра'!I492</f>
        <v>2000</v>
      </c>
    </row>
    <row r="176" spans="1:8" s="21" customFormat="1" ht="12.75" customHeight="1" x14ac:dyDescent="0.2">
      <c r="A176" s="18" t="s">
        <v>261</v>
      </c>
      <c r="B176" s="24" t="s">
        <v>29</v>
      </c>
      <c r="C176" s="24" t="s">
        <v>15</v>
      </c>
      <c r="D176" s="19" t="s">
        <v>260</v>
      </c>
      <c r="E176" s="24"/>
      <c r="F176" s="25">
        <f>F177</f>
        <v>582.6</v>
      </c>
      <c r="G176" s="25">
        <f>G177</f>
        <v>500</v>
      </c>
      <c r="H176" s="25">
        <f>H177</f>
        <v>354.3</v>
      </c>
    </row>
    <row r="177" spans="1:8" s="21" customFormat="1" ht="25.5" customHeight="1" x14ac:dyDescent="0.2">
      <c r="A177" s="28" t="s">
        <v>119</v>
      </c>
      <c r="B177" s="24" t="s">
        <v>29</v>
      </c>
      <c r="C177" s="24" t="s">
        <v>15</v>
      </c>
      <c r="D177" s="24" t="s">
        <v>260</v>
      </c>
      <c r="E177" s="24" t="s">
        <v>63</v>
      </c>
      <c r="F177" s="25">
        <f>' первое чтение вед стр-ра'!G494</f>
        <v>582.6</v>
      </c>
      <c r="G177" s="25">
        <f>' первое чтение вед стр-ра'!H494</f>
        <v>500</v>
      </c>
      <c r="H177" s="25">
        <f>' первое чтение вед стр-ра'!I494</f>
        <v>354.3</v>
      </c>
    </row>
    <row r="178" spans="1:8" s="71" customFormat="1" ht="25.5" customHeight="1" x14ac:dyDescent="0.2">
      <c r="A178" s="67" t="s">
        <v>263</v>
      </c>
      <c r="B178" s="69" t="s">
        <v>29</v>
      </c>
      <c r="C178" s="69" t="s">
        <v>15</v>
      </c>
      <c r="D178" s="97" t="s">
        <v>262</v>
      </c>
      <c r="E178" s="69"/>
      <c r="F178" s="70">
        <f>F179</f>
        <v>8950</v>
      </c>
      <c r="G178" s="70">
        <f t="shared" ref="G178:H178" si="37">G179</f>
        <v>8950</v>
      </c>
      <c r="H178" s="70">
        <f t="shared" si="37"/>
        <v>5700</v>
      </c>
    </row>
    <row r="179" spans="1:8" s="21" customFormat="1" ht="25.5" customHeight="1" x14ac:dyDescent="0.2">
      <c r="A179" s="28" t="s">
        <v>119</v>
      </c>
      <c r="B179" s="24" t="s">
        <v>29</v>
      </c>
      <c r="C179" s="24" t="s">
        <v>15</v>
      </c>
      <c r="D179" s="16" t="s">
        <v>262</v>
      </c>
      <c r="E179" s="24" t="s">
        <v>63</v>
      </c>
      <c r="F179" s="25">
        <f>' первое чтение вед стр-ра'!G496</f>
        <v>8950</v>
      </c>
      <c r="G179" s="25">
        <f>' первое чтение вед стр-ра'!H496</f>
        <v>8950</v>
      </c>
      <c r="H179" s="25">
        <f>' первое чтение вед стр-ра'!I496</f>
        <v>5700</v>
      </c>
    </row>
    <row r="180" spans="1:8" s="21" customFormat="1" ht="12.75" customHeight="1" x14ac:dyDescent="0.2">
      <c r="A180" s="18" t="s">
        <v>314</v>
      </c>
      <c r="B180" s="19" t="s">
        <v>29</v>
      </c>
      <c r="C180" s="19" t="s">
        <v>15</v>
      </c>
      <c r="D180" s="16" t="s">
        <v>315</v>
      </c>
      <c r="E180" s="19"/>
      <c r="F180" s="20">
        <f>F181</f>
        <v>4000</v>
      </c>
      <c r="G180" s="20">
        <f t="shared" ref="G180:H180" si="38">G181</f>
        <v>0</v>
      </c>
      <c r="H180" s="20">
        <f t="shared" si="38"/>
        <v>0</v>
      </c>
    </row>
    <row r="181" spans="1:8" s="21" customFormat="1" ht="25.5" customHeight="1" x14ac:dyDescent="0.2">
      <c r="A181" s="28" t="s">
        <v>119</v>
      </c>
      <c r="B181" s="24" t="s">
        <v>29</v>
      </c>
      <c r="C181" s="24" t="s">
        <v>15</v>
      </c>
      <c r="D181" s="16" t="s">
        <v>315</v>
      </c>
      <c r="E181" s="24" t="s">
        <v>63</v>
      </c>
      <c r="F181" s="25">
        <f>' первое чтение вед стр-ра'!G498</f>
        <v>4000</v>
      </c>
      <c r="G181" s="25">
        <f>' первое чтение вед стр-ра'!H498</f>
        <v>0</v>
      </c>
      <c r="H181" s="25">
        <f>' первое чтение вед стр-ра'!I498</f>
        <v>0</v>
      </c>
    </row>
    <row r="182" spans="1:8" s="71" customFormat="1" ht="15.75" customHeight="1" x14ac:dyDescent="0.2">
      <c r="A182" s="62" t="s">
        <v>34</v>
      </c>
      <c r="B182" s="64" t="s">
        <v>29</v>
      </c>
      <c r="C182" s="64" t="s">
        <v>29</v>
      </c>
      <c r="D182" s="64"/>
      <c r="E182" s="64"/>
      <c r="F182" s="65">
        <f>+F183+F186</f>
        <v>21027.1</v>
      </c>
      <c r="G182" s="65">
        <f t="shared" ref="G182:H182" si="39">+G183+G186</f>
        <v>19801.800000000003</v>
      </c>
      <c r="H182" s="65">
        <f t="shared" si="39"/>
        <v>19584.800000000003</v>
      </c>
    </row>
    <row r="183" spans="1:8" s="21" customFormat="1" ht="25.5" customHeight="1" x14ac:dyDescent="0.2">
      <c r="A183" s="18" t="s">
        <v>265</v>
      </c>
      <c r="B183" s="19" t="s">
        <v>29</v>
      </c>
      <c r="C183" s="19" t="s">
        <v>29</v>
      </c>
      <c r="D183" s="19" t="s">
        <v>264</v>
      </c>
      <c r="E183" s="19"/>
      <c r="F183" s="20">
        <f>F184+F185</f>
        <v>5783.6</v>
      </c>
      <c r="G183" s="20">
        <f t="shared" ref="G183:H183" si="40">G184+G185</f>
        <v>5389.6</v>
      </c>
      <c r="H183" s="20">
        <f t="shared" si="40"/>
        <v>5389.6</v>
      </c>
    </row>
    <row r="184" spans="1:8" s="21" customFormat="1" ht="51" customHeight="1" x14ac:dyDescent="0.2">
      <c r="A184" s="30" t="s">
        <v>64</v>
      </c>
      <c r="B184" s="24" t="s">
        <v>29</v>
      </c>
      <c r="C184" s="24" t="s">
        <v>29</v>
      </c>
      <c r="D184" s="24" t="s">
        <v>264</v>
      </c>
      <c r="E184" s="24" t="s">
        <v>65</v>
      </c>
      <c r="F184" s="25">
        <f>' первое чтение вед стр-ра'!G501</f>
        <v>5343.2000000000007</v>
      </c>
      <c r="G184" s="25">
        <f>' первое чтение вед стр-ра'!H501</f>
        <v>5343.2000000000007</v>
      </c>
      <c r="H184" s="25">
        <f>' первое чтение вед стр-ра'!I501</f>
        <v>5343.2000000000007</v>
      </c>
    </row>
    <row r="185" spans="1:8" s="21" customFormat="1" ht="25.5" customHeight="1" x14ac:dyDescent="0.2">
      <c r="A185" s="28" t="s">
        <v>74</v>
      </c>
      <c r="B185" s="24" t="s">
        <v>29</v>
      </c>
      <c r="C185" s="24" t="s">
        <v>29</v>
      </c>
      <c r="D185" s="24" t="s">
        <v>264</v>
      </c>
      <c r="E185" s="24" t="s">
        <v>66</v>
      </c>
      <c r="F185" s="25">
        <f>' первое чтение вед стр-ра'!G502</f>
        <v>440.4</v>
      </c>
      <c r="G185" s="25">
        <f>' первое чтение вед стр-ра'!H502</f>
        <v>46.4</v>
      </c>
      <c r="H185" s="25">
        <f>' первое чтение вед стр-ра'!I502</f>
        <v>46.4</v>
      </c>
    </row>
    <row r="186" spans="1:8" s="21" customFormat="1" ht="38.25" customHeight="1" x14ac:dyDescent="0.2">
      <c r="A186" s="18" t="s">
        <v>267</v>
      </c>
      <c r="B186" s="24" t="s">
        <v>29</v>
      </c>
      <c r="C186" s="24" t="s">
        <v>29</v>
      </c>
      <c r="D186" s="19" t="s">
        <v>266</v>
      </c>
      <c r="E186" s="5"/>
      <c r="F186" s="6">
        <f>F187</f>
        <v>15243.5</v>
      </c>
      <c r="G186" s="6">
        <f>G187</f>
        <v>14412.2</v>
      </c>
      <c r="H186" s="6">
        <f>H187</f>
        <v>14195.2</v>
      </c>
    </row>
    <row r="187" spans="1:8" s="21" customFormat="1" ht="25.5" customHeight="1" x14ac:dyDescent="0.2">
      <c r="A187" s="28" t="s">
        <v>119</v>
      </c>
      <c r="B187" s="24" t="s">
        <v>29</v>
      </c>
      <c r="C187" s="24" t="s">
        <v>29</v>
      </c>
      <c r="D187" s="24" t="s">
        <v>266</v>
      </c>
      <c r="E187" s="24" t="s">
        <v>63</v>
      </c>
      <c r="F187" s="25">
        <f>' первое чтение вед стр-ра'!G504</f>
        <v>15243.5</v>
      </c>
      <c r="G187" s="25">
        <f>' первое чтение вед стр-ра'!H504</f>
        <v>14412.2</v>
      </c>
      <c r="H187" s="25">
        <f>' первое чтение вед стр-ра'!I504</f>
        <v>14195.2</v>
      </c>
    </row>
    <row r="188" spans="1:8" s="21" customFormat="1" ht="15.75" customHeight="1" x14ac:dyDescent="0.25">
      <c r="A188" s="121" t="s">
        <v>35</v>
      </c>
      <c r="B188" s="120" t="s">
        <v>18</v>
      </c>
      <c r="C188" s="120" t="s">
        <v>352</v>
      </c>
      <c r="D188" s="120"/>
      <c r="E188" s="120"/>
      <c r="F188" s="175">
        <f>F189+F202+F253+F245+F235</f>
        <v>1292483.7</v>
      </c>
      <c r="G188" s="175">
        <f>G189+G202+G253+G245+G235</f>
        <v>1215092.7</v>
      </c>
      <c r="H188" s="175">
        <f>H189+H202+H253+H245+H235</f>
        <v>1188734</v>
      </c>
    </row>
    <row r="189" spans="1:8" s="71" customFormat="1" ht="12.75" customHeight="1" x14ac:dyDescent="0.2">
      <c r="A189" s="62" t="s">
        <v>36</v>
      </c>
      <c r="B189" s="64" t="s">
        <v>18</v>
      </c>
      <c r="C189" s="64" t="s">
        <v>11</v>
      </c>
      <c r="D189" s="64"/>
      <c r="E189" s="64"/>
      <c r="F189" s="65">
        <f>F193+F197+F190</f>
        <v>472097.7</v>
      </c>
      <c r="G189" s="65">
        <f t="shared" ref="G189:H189" si="41">G193+G197+G190</f>
        <v>440739.5</v>
      </c>
      <c r="H189" s="65">
        <f t="shared" si="41"/>
        <v>431654</v>
      </c>
    </row>
    <row r="190" spans="1:8" s="71" customFormat="1" ht="25.5" customHeight="1" x14ac:dyDescent="0.2">
      <c r="A190" s="81" t="s">
        <v>135</v>
      </c>
      <c r="B190" s="69" t="s">
        <v>18</v>
      </c>
      <c r="C190" s="69" t="s">
        <v>11</v>
      </c>
      <c r="D190" s="69" t="s">
        <v>134</v>
      </c>
      <c r="E190" s="82"/>
      <c r="F190" s="83">
        <f>F192+F191</f>
        <v>5023.8</v>
      </c>
      <c r="G190" s="83">
        <f t="shared" ref="G190:H190" si="42">G192+G191</f>
        <v>866</v>
      </c>
      <c r="H190" s="83">
        <f t="shared" si="42"/>
        <v>866</v>
      </c>
    </row>
    <row r="191" spans="1:8" s="71" customFormat="1" ht="25.5" customHeight="1" x14ac:dyDescent="0.2">
      <c r="A191" s="28" t="s">
        <v>74</v>
      </c>
      <c r="B191" s="74" t="s">
        <v>18</v>
      </c>
      <c r="C191" s="74" t="s">
        <v>11</v>
      </c>
      <c r="D191" s="74" t="s">
        <v>134</v>
      </c>
      <c r="E191" s="74" t="s">
        <v>66</v>
      </c>
      <c r="F191" s="54">
        <f>' первое чтение вед стр-ра'!G203</f>
        <v>486.8</v>
      </c>
      <c r="G191" s="54">
        <f>' первое чтение вед стр-ра'!H203</f>
        <v>148.9</v>
      </c>
      <c r="H191" s="54">
        <f>' первое чтение вед стр-ра'!I203</f>
        <v>148.9</v>
      </c>
    </row>
    <row r="192" spans="1:8" s="71" customFormat="1" ht="25.5" customHeight="1" x14ac:dyDescent="0.2">
      <c r="A192" s="79" t="s">
        <v>119</v>
      </c>
      <c r="B192" s="74" t="s">
        <v>18</v>
      </c>
      <c r="C192" s="74" t="s">
        <v>11</v>
      </c>
      <c r="D192" s="74" t="s">
        <v>134</v>
      </c>
      <c r="E192" s="74" t="s">
        <v>63</v>
      </c>
      <c r="F192" s="54">
        <f>' первое чтение вед стр-ра'!G204</f>
        <v>4537</v>
      </c>
      <c r="G192" s="54">
        <f>' первое чтение вед стр-ра'!H204</f>
        <v>717.1</v>
      </c>
      <c r="H192" s="54">
        <f>' первое чтение вед стр-ра'!I204</f>
        <v>717.1</v>
      </c>
    </row>
    <row r="193" spans="1:8" s="21" customFormat="1" ht="51" customHeight="1" x14ac:dyDescent="0.2">
      <c r="A193" s="52" t="s">
        <v>295</v>
      </c>
      <c r="B193" s="19" t="s">
        <v>18</v>
      </c>
      <c r="C193" s="19" t="s">
        <v>11</v>
      </c>
      <c r="D193" s="19" t="s">
        <v>104</v>
      </c>
      <c r="E193" s="19"/>
      <c r="F193" s="20">
        <f>F196+F194+F195</f>
        <v>264200</v>
      </c>
      <c r="G193" s="20">
        <f t="shared" ref="G193:H193" si="43">G196+G194+G195</f>
        <v>264200</v>
      </c>
      <c r="H193" s="20">
        <f t="shared" si="43"/>
        <v>264200</v>
      </c>
    </row>
    <row r="194" spans="1:8" s="71" customFormat="1" ht="51" customHeight="1" x14ac:dyDescent="0.2">
      <c r="A194" s="72" t="s">
        <v>64</v>
      </c>
      <c r="B194" s="74" t="s">
        <v>18</v>
      </c>
      <c r="C194" s="74" t="s">
        <v>11</v>
      </c>
      <c r="D194" s="74" t="s">
        <v>104</v>
      </c>
      <c r="E194" s="75" t="s">
        <v>65</v>
      </c>
      <c r="F194" s="54">
        <f>' первое чтение вед стр-ра'!G206</f>
        <v>47990</v>
      </c>
      <c r="G194" s="54">
        <f>' первое чтение вед стр-ра'!H206</f>
        <v>47990</v>
      </c>
      <c r="H194" s="54">
        <f>' первое чтение вед стр-ра'!I206</f>
        <v>47990</v>
      </c>
    </row>
    <row r="195" spans="1:8" s="21" customFormat="1" ht="25.5" customHeight="1" x14ac:dyDescent="0.2">
      <c r="A195" s="28" t="s">
        <v>74</v>
      </c>
      <c r="B195" s="24" t="s">
        <v>18</v>
      </c>
      <c r="C195" s="24" t="s">
        <v>11</v>
      </c>
      <c r="D195" s="24" t="s">
        <v>104</v>
      </c>
      <c r="E195" s="27" t="s">
        <v>66</v>
      </c>
      <c r="F195" s="54">
        <f>' первое чтение вед стр-ра'!G207</f>
        <v>189.2</v>
      </c>
      <c r="G195" s="54">
        <f>' первое чтение вед стр-ра'!H207</f>
        <v>189.2</v>
      </c>
      <c r="H195" s="54">
        <f>' первое чтение вед стр-ра'!I207</f>
        <v>189.2</v>
      </c>
    </row>
    <row r="196" spans="1:8" s="71" customFormat="1" ht="25.5" customHeight="1" x14ac:dyDescent="0.2">
      <c r="A196" s="79" t="s">
        <v>119</v>
      </c>
      <c r="B196" s="74" t="s">
        <v>18</v>
      </c>
      <c r="C196" s="74" t="s">
        <v>11</v>
      </c>
      <c r="D196" s="74" t="s">
        <v>104</v>
      </c>
      <c r="E196" s="74" t="s">
        <v>63</v>
      </c>
      <c r="F196" s="54">
        <f>' первое чтение вед стр-ра'!G208</f>
        <v>216020.8</v>
      </c>
      <c r="G196" s="54">
        <f>' первое чтение вед стр-ра'!H208</f>
        <v>216020.8</v>
      </c>
      <c r="H196" s="54">
        <f>' первое чтение вед стр-ра'!I208</f>
        <v>216020.8</v>
      </c>
    </row>
    <row r="197" spans="1:8" s="71" customFormat="1" ht="53.25" customHeight="1" x14ac:dyDescent="0.2">
      <c r="A197" s="67" t="s">
        <v>281</v>
      </c>
      <c r="B197" s="69" t="s">
        <v>18</v>
      </c>
      <c r="C197" s="69" t="s">
        <v>11</v>
      </c>
      <c r="D197" s="69" t="s">
        <v>205</v>
      </c>
      <c r="E197" s="69"/>
      <c r="F197" s="70">
        <f>F200+F199+F198+F201</f>
        <v>202873.9</v>
      </c>
      <c r="G197" s="70">
        <f>G200+G199+G198+G201</f>
        <v>175673.49999999997</v>
      </c>
      <c r="H197" s="70">
        <f>H200+H199+H198+H201</f>
        <v>166587.99999999997</v>
      </c>
    </row>
    <row r="198" spans="1:8" s="71" customFormat="1" ht="39.75" customHeight="1" x14ac:dyDescent="0.2">
      <c r="A198" s="72" t="s">
        <v>64</v>
      </c>
      <c r="B198" s="74" t="s">
        <v>18</v>
      </c>
      <c r="C198" s="74" t="s">
        <v>11</v>
      </c>
      <c r="D198" s="74" t="s">
        <v>205</v>
      </c>
      <c r="E198" s="75" t="s">
        <v>65</v>
      </c>
      <c r="F198" s="70">
        <f>' первое чтение вед стр-ра'!G210</f>
        <v>29924.9</v>
      </c>
      <c r="G198" s="70">
        <f>' первое чтение вед стр-ра'!H210</f>
        <v>29923.3</v>
      </c>
      <c r="H198" s="70">
        <f>' первое чтение вед стр-ра'!I210</f>
        <v>29923.3</v>
      </c>
    </row>
    <row r="199" spans="1:8" s="21" customFormat="1" ht="25.5" customHeight="1" x14ac:dyDescent="0.2">
      <c r="A199" s="28" t="s">
        <v>74</v>
      </c>
      <c r="B199" s="24" t="s">
        <v>18</v>
      </c>
      <c r="C199" s="24" t="s">
        <v>11</v>
      </c>
      <c r="D199" s="24" t="s">
        <v>205</v>
      </c>
      <c r="E199" s="27" t="s">
        <v>66</v>
      </c>
      <c r="F199" s="70">
        <f>' первое чтение вед стр-ра'!G211</f>
        <v>13808</v>
      </c>
      <c r="G199" s="70">
        <f>' первое чтение вед стр-ра'!H211</f>
        <v>10370.299999999999</v>
      </c>
      <c r="H199" s="70">
        <f>' первое чтение вед стр-ра'!I211</f>
        <v>9150</v>
      </c>
    </row>
    <row r="200" spans="1:8" s="21" customFormat="1" ht="25.5" customHeight="1" x14ac:dyDescent="0.2">
      <c r="A200" s="28" t="s">
        <v>119</v>
      </c>
      <c r="B200" s="24" t="s">
        <v>18</v>
      </c>
      <c r="C200" s="24" t="s">
        <v>11</v>
      </c>
      <c r="D200" s="24" t="s">
        <v>205</v>
      </c>
      <c r="E200" s="24" t="s">
        <v>63</v>
      </c>
      <c r="F200" s="70">
        <f>' первое чтение вед стр-ра'!G212</f>
        <v>159006.70000000001</v>
      </c>
      <c r="G200" s="70">
        <f>' первое чтение вед стр-ра'!H212</f>
        <v>135290.6</v>
      </c>
      <c r="H200" s="70">
        <f>' первое чтение вед стр-ра'!I212</f>
        <v>127425.4</v>
      </c>
    </row>
    <row r="201" spans="1:8" s="71" customFormat="1" ht="12.75" customHeight="1" x14ac:dyDescent="0.2">
      <c r="A201" s="79" t="s">
        <v>70</v>
      </c>
      <c r="B201" s="74" t="s">
        <v>18</v>
      </c>
      <c r="C201" s="74" t="s">
        <v>11</v>
      </c>
      <c r="D201" s="74" t="s">
        <v>205</v>
      </c>
      <c r="E201" s="74" t="s">
        <v>71</v>
      </c>
      <c r="F201" s="70">
        <f>' первое чтение вед стр-ра'!G213</f>
        <v>134.30000000000001</v>
      </c>
      <c r="G201" s="70">
        <f>' первое чтение вед стр-ра'!H213</f>
        <v>89.3</v>
      </c>
      <c r="H201" s="70">
        <f>' первое чтение вед стр-ра'!I213</f>
        <v>89.3</v>
      </c>
    </row>
    <row r="202" spans="1:8" s="71" customFormat="1" ht="12.75" customHeight="1" x14ac:dyDescent="0.2">
      <c r="A202" s="62" t="s">
        <v>37</v>
      </c>
      <c r="B202" s="64" t="s">
        <v>18</v>
      </c>
      <c r="C202" s="64" t="s">
        <v>13</v>
      </c>
      <c r="D202" s="64"/>
      <c r="E202" s="64"/>
      <c r="F202" s="65">
        <f>F208+F212+F216+F218+F220+F232+F229+F226+F203+F206+F224</f>
        <v>574621.79999999993</v>
      </c>
      <c r="G202" s="65">
        <f t="shared" ref="G202:H202" si="44">G208+G212+G216+G218+G220+G232+G229+G226+G203+G206+G224</f>
        <v>529930.79999999993</v>
      </c>
      <c r="H202" s="65">
        <f t="shared" si="44"/>
        <v>517674.79999999993</v>
      </c>
    </row>
    <row r="203" spans="1:8" s="71" customFormat="1" ht="25.5" customHeight="1" x14ac:dyDescent="0.2">
      <c r="A203" s="81" t="s">
        <v>135</v>
      </c>
      <c r="B203" s="69" t="s">
        <v>18</v>
      </c>
      <c r="C203" s="69" t="s">
        <v>13</v>
      </c>
      <c r="D203" s="69" t="s">
        <v>134</v>
      </c>
      <c r="E203" s="82"/>
      <c r="F203" s="83">
        <f>F205+F204</f>
        <v>8238.6</v>
      </c>
      <c r="G203" s="83">
        <f t="shared" ref="G203:H203" si="45">G205+G204</f>
        <v>1419.7</v>
      </c>
      <c r="H203" s="83">
        <f t="shared" si="45"/>
        <v>1419.7</v>
      </c>
    </row>
    <row r="204" spans="1:8" s="71" customFormat="1" ht="25.5" customHeight="1" x14ac:dyDescent="0.2">
      <c r="A204" s="28" t="s">
        <v>74</v>
      </c>
      <c r="B204" s="74" t="s">
        <v>18</v>
      </c>
      <c r="C204" s="74" t="s">
        <v>13</v>
      </c>
      <c r="D204" s="74" t="s">
        <v>134</v>
      </c>
      <c r="E204" s="74" t="s">
        <v>66</v>
      </c>
      <c r="F204" s="54">
        <f>' первое чтение вед стр-ра'!G218</f>
        <v>1162.0999999999999</v>
      </c>
      <c r="G204" s="54">
        <f>' первое чтение вед стр-ра'!H218</f>
        <v>316.8</v>
      </c>
      <c r="H204" s="54">
        <f>' первое чтение вед стр-ра'!I218</f>
        <v>316.8</v>
      </c>
    </row>
    <row r="205" spans="1:8" s="71" customFormat="1" ht="25.5" customHeight="1" x14ac:dyDescent="0.2">
      <c r="A205" s="79" t="s">
        <v>119</v>
      </c>
      <c r="B205" s="74" t="s">
        <v>18</v>
      </c>
      <c r="C205" s="74" t="s">
        <v>13</v>
      </c>
      <c r="D205" s="74" t="s">
        <v>134</v>
      </c>
      <c r="E205" s="74" t="s">
        <v>63</v>
      </c>
      <c r="F205" s="54">
        <f>' первое чтение вед стр-ра'!G219</f>
        <v>7076.5</v>
      </c>
      <c r="G205" s="54">
        <f>' первое чтение вед стр-ра'!H219</f>
        <v>1102.9000000000001</v>
      </c>
      <c r="H205" s="54">
        <f>' первое чтение вед стр-ра'!I219</f>
        <v>1102.9000000000001</v>
      </c>
    </row>
    <row r="206" spans="1:8" s="9" customFormat="1" ht="25.5" customHeight="1" x14ac:dyDescent="0.2">
      <c r="A206" s="18" t="s">
        <v>340</v>
      </c>
      <c r="B206" s="19" t="s">
        <v>18</v>
      </c>
      <c r="C206" s="19" t="s">
        <v>13</v>
      </c>
      <c r="D206" s="19" t="s">
        <v>542</v>
      </c>
      <c r="E206" s="19"/>
      <c r="F206" s="20">
        <f>F207</f>
        <v>125</v>
      </c>
      <c r="G206" s="20">
        <f t="shared" ref="G206:H206" si="46">G207</f>
        <v>0</v>
      </c>
      <c r="H206" s="20">
        <f t="shared" si="46"/>
        <v>0</v>
      </c>
    </row>
    <row r="207" spans="1:8" s="9" customFormat="1" ht="25.5" customHeight="1" x14ac:dyDescent="0.2">
      <c r="A207" s="28" t="s">
        <v>119</v>
      </c>
      <c r="B207" s="24" t="s">
        <v>18</v>
      </c>
      <c r="C207" s="24" t="s">
        <v>13</v>
      </c>
      <c r="D207" s="24" t="s">
        <v>542</v>
      </c>
      <c r="E207" s="24" t="s">
        <v>63</v>
      </c>
      <c r="F207" s="25">
        <f>' первое чтение вед стр-ра'!G216</f>
        <v>125</v>
      </c>
      <c r="G207" s="25">
        <f>' первое чтение вед стр-ра'!H216</f>
        <v>0</v>
      </c>
      <c r="H207" s="25">
        <f>' первое чтение вед стр-ра'!I216</f>
        <v>0</v>
      </c>
    </row>
    <row r="208" spans="1:8" s="21" customFormat="1" ht="25.5" customHeight="1" x14ac:dyDescent="0.2">
      <c r="A208" s="18" t="s">
        <v>196</v>
      </c>
      <c r="B208" s="19" t="s">
        <v>18</v>
      </c>
      <c r="C208" s="19" t="s">
        <v>13</v>
      </c>
      <c r="D208" s="19" t="s">
        <v>102</v>
      </c>
      <c r="E208" s="19"/>
      <c r="F208" s="20">
        <f>F209+F210+F211</f>
        <v>50379</v>
      </c>
      <c r="G208" s="20">
        <f>G209+G210+G211</f>
        <v>50379</v>
      </c>
      <c r="H208" s="20">
        <f>H209+H210+H211</f>
        <v>50379</v>
      </c>
    </row>
    <row r="209" spans="1:8" s="71" customFormat="1" ht="51" customHeight="1" x14ac:dyDescent="0.2">
      <c r="A209" s="72" t="s">
        <v>64</v>
      </c>
      <c r="B209" s="74" t="s">
        <v>18</v>
      </c>
      <c r="C209" s="74" t="s">
        <v>13</v>
      </c>
      <c r="D209" s="74" t="s">
        <v>102</v>
      </c>
      <c r="E209" s="75" t="s">
        <v>65</v>
      </c>
      <c r="F209" s="54">
        <f>' первое чтение вед стр-ра'!G221</f>
        <v>35733.599999999999</v>
      </c>
      <c r="G209" s="54">
        <f>' первое чтение вед стр-ра'!H221</f>
        <v>35733.599999999999</v>
      </c>
      <c r="H209" s="54">
        <f>' первое чтение вед стр-ра'!I221</f>
        <v>35733.599999999999</v>
      </c>
    </row>
    <row r="210" spans="1:8" s="71" customFormat="1" ht="25.5" customHeight="1" x14ac:dyDescent="0.2">
      <c r="A210" s="79" t="s">
        <v>74</v>
      </c>
      <c r="B210" s="74" t="s">
        <v>18</v>
      </c>
      <c r="C210" s="74" t="s">
        <v>13</v>
      </c>
      <c r="D210" s="74" t="s">
        <v>102</v>
      </c>
      <c r="E210" s="75" t="s">
        <v>66</v>
      </c>
      <c r="F210" s="54">
        <f>' первое чтение вед стр-ра'!G222</f>
        <v>14203.5</v>
      </c>
      <c r="G210" s="54">
        <f>' первое чтение вед стр-ра'!H222</f>
        <v>14203.5</v>
      </c>
      <c r="H210" s="54">
        <f>' первое чтение вед стр-ра'!I222</f>
        <v>14203.5</v>
      </c>
    </row>
    <row r="211" spans="1:8" s="21" customFormat="1" ht="12.75" customHeight="1" x14ac:dyDescent="0.2">
      <c r="A211" s="28" t="s">
        <v>70</v>
      </c>
      <c r="B211" s="24" t="s">
        <v>18</v>
      </c>
      <c r="C211" s="24" t="s">
        <v>13</v>
      </c>
      <c r="D211" s="24" t="s">
        <v>102</v>
      </c>
      <c r="E211" s="24" t="s">
        <v>71</v>
      </c>
      <c r="F211" s="54">
        <f>' первое чтение вед стр-ра'!G223</f>
        <v>441.9</v>
      </c>
      <c r="G211" s="54">
        <f>' первое чтение вед стр-ра'!H223</f>
        <v>441.9</v>
      </c>
      <c r="H211" s="54">
        <f>' первое чтение вед стр-ра'!I223</f>
        <v>441.9</v>
      </c>
    </row>
    <row r="212" spans="1:8" s="21" customFormat="1" ht="63.75" customHeight="1" x14ac:dyDescent="0.2">
      <c r="A212" s="18" t="s">
        <v>457</v>
      </c>
      <c r="B212" s="19" t="s">
        <v>18</v>
      </c>
      <c r="C212" s="19" t="s">
        <v>13</v>
      </c>
      <c r="D212" s="19" t="s">
        <v>100</v>
      </c>
      <c r="E212" s="19"/>
      <c r="F212" s="20">
        <f>F213+F214+F215</f>
        <v>424840</v>
      </c>
      <c r="G212" s="20">
        <f>G213+G214+G215</f>
        <v>424840</v>
      </c>
      <c r="H212" s="20">
        <f>H213+H214+H215</f>
        <v>424840</v>
      </c>
    </row>
    <row r="213" spans="1:8" s="71" customFormat="1" ht="51" customHeight="1" x14ac:dyDescent="0.2">
      <c r="A213" s="72" t="s">
        <v>64</v>
      </c>
      <c r="B213" s="74" t="s">
        <v>18</v>
      </c>
      <c r="C213" s="74" t="s">
        <v>13</v>
      </c>
      <c r="D213" s="74" t="s">
        <v>100</v>
      </c>
      <c r="E213" s="75" t="s">
        <v>65</v>
      </c>
      <c r="F213" s="54">
        <f>' первое чтение вед стр-ра'!G225</f>
        <v>68740</v>
      </c>
      <c r="G213" s="54">
        <f>' первое чтение вед стр-ра'!H225</f>
        <v>68740</v>
      </c>
      <c r="H213" s="54">
        <f>' первое чтение вед стр-ра'!I225</f>
        <v>68740</v>
      </c>
    </row>
    <row r="214" spans="1:8" s="71" customFormat="1" ht="25.5" customHeight="1" x14ac:dyDescent="0.2">
      <c r="A214" s="79" t="s">
        <v>74</v>
      </c>
      <c r="B214" s="74" t="s">
        <v>18</v>
      </c>
      <c r="C214" s="74" t="s">
        <v>13</v>
      </c>
      <c r="D214" s="74" t="s">
        <v>100</v>
      </c>
      <c r="E214" s="75" t="s">
        <v>66</v>
      </c>
      <c r="F214" s="54">
        <f>' первое чтение вед стр-ра'!G226</f>
        <v>2061.1</v>
      </c>
      <c r="G214" s="54">
        <f>' первое чтение вед стр-ра'!H226</f>
        <v>2061.1</v>
      </c>
      <c r="H214" s="54">
        <f>' первое чтение вед стр-ра'!I226</f>
        <v>2061.1</v>
      </c>
    </row>
    <row r="215" spans="1:8" s="71" customFormat="1" ht="25.5" customHeight="1" x14ac:dyDescent="0.2">
      <c r="A215" s="79" t="s">
        <v>119</v>
      </c>
      <c r="B215" s="74" t="s">
        <v>18</v>
      </c>
      <c r="C215" s="74" t="s">
        <v>13</v>
      </c>
      <c r="D215" s="74" t="s">
        <v>100</v>
      </c>
      <c r="E215" s="74" t="s">
        <v>63</v>
      </c>
      <c r="F215" s="54">
        <f>' первое чтение вед стр-ра'!G227</f>
        <v>354038.9</v>
      </c>
      <c r="G215" s="54">
        <f>' первое чтение вед стр-ра'!H227</f>
        <v>354038.9</v>
      </c>
      <c r="H215" s="54">
        <f>' первое чтение вед стр-ра'!I227</f>
        <v>354038.9</v>
      </c>
    </row>
    <row r="216" spans="1:8" s="21" customFormat="1" ht="38.25" customHeight="1" x14ac:dyDescent="0.2">
      <c r="A216" s="18" t="s">
        <v>198</v>
      </c>
      <c r="B216" s="19" t="s">
        <v>18</v>
      </c>
      <c r="C216" s="19" t="s">
        <v>13</v>
      </c>
      <c r="D216" s="19" t="s">
        <v>101</v>
      </c>
      <c r="E216" s="19"/>
      <c r="F216" s="20">
        <f>F217</f>
        <v>3880.1</v>
      </c>
      <c r="G216" s="20">
        <f t="shared" ref="G216:H216" si="47">G217</f>
        <v>3880.1</v>
      </c>
      <c r="H216" s="20">
        <f t="shared" si="47"/>
        <v>3880.1</v>
      </c>
    </row>
    <row r="217" spans="1:8" s="21" customFormat="1" ht="25.5" customHeight="1" x14ac:dyDescent="0.2">
      <c r="A217" s="28" t="s">
        <v>74</v>
      </c>
      <c r="B217" s="24" t="s">
        <v>18</v>
      </c>
      <c r="C217" s="24" t="s">
        <v>13</v>
      </c>
      <c r="D217" s="24" t="s">
        <v>101</v>
      </c>
      <c r="E217" s="27" t="s">
        <v>66</v>
      </c>
      <c r="F217" s="25">
        <f>' первое чтение вед стр-ра'!G229</f>
        <v>3880.1</v>
      </c>
      <c r="G217" s="25">
        <f>' первое чтение вед стр-ра'!H229</f>
        <v>3880.1</v>
      </c>
      <c r="H217" s="25">
        <f>' первое чтение вед стр-ра'!I229</f>
        <v>3880.1</v>
      </c>
    </row>
    <row r="218" spans="1:8" s="21" customFormat="1" ht="51" customHeight="1" x14ac:dyDescent="0.2">
      <c r="A218" s="18" t="s">
        <v>281</v>
      </c>
      <c r="B218" s="19" t="s">
        <v>18</v>
      </c>
      <c r="C218" s="19" t="s">
        <v>13</v>
      </c>
      <c r="D218" s="19" t="s">
        <v>200</v>
      </c>
      <c r="E218" s="19"/>
      <c r="F218" s="20">
        <f>F219</f>
        <v>74254.899999999994</v>
      </c>
      <c r="G218" s="20">
        <f>G219</f>
        <v>39999.5</v>
      </c>
      <c r="H218" s="20">
        <f>H219</f>
        <v>28557.599999999999</v>
      </c>
    </row>
    <row r="219" spans="1:8" s="21" customFormat="1" ht="25.5" customHeight="1" x14ac:dyDescent="0.2">
      <c r="A219" s="28" t="s">
        <v>119</v>
      </c>
      <c r="B219" s="24" t="s">
        <v>18</v>
      </c>
      <c r="C219" s="24" t="s">
        <v>13</v>
      </c>
      <c r="D219" s="24" t="s">
        <v>200</v>
      </c>
      <c r="E219" s="24" t="s">
        <v>63</v>
      </c>
      <c r="F219" s="25">
        <f>' первое чтение вед стр-ра'!G231</f>
        <v>74254.899999999994</v>
      </c>
      <c r="G219" s="25">
        <f>' первое чтение вед стр-ра'!H231</f>
        <v>39999.5</v>
      </c>
      <c r="H219" s="25">
        <f>' первое чтение вед стр-ра'!I231</f>
        <v>28557.599999999999</v>
      </c>
    </row>
    <row r="220" spans="1:8" s="71" customFormat="1" ht="51" customHeight="1" x14ac:dyDescent="0.2">
      <c r="A220" s="67" t="s">
        <v>203</v>
      </c>
      <c r="B220" s="69" t="s">
        <v>18</v>
      </c>
      <c r="C220" s="69" t="s">
        <v>13</v>
      </c>
      <c r="D220" s="69" t="s">
        <v>202</v>
      </c>
      <c r="E220" s="69"/>
      <c r="F220" s="70">
        <f>F221+F222+F223</f>
        <v>7554.6</v>
      </c>
      <c r="G220" s="70">
        <f>G221+G222+G223</f>
        <v>4312.9000000000005</v>
      </c>
      <c r="H220" s="70">
        <f>H221+H222+H223</f>
        <v>3498.7999999999997</v>
      </c>
    </row>
    <row r="221" spans="1:8" s="71" customFormat="1" ht="51" customHeight="1" x14ac:dyDescent="0.2">
      <c r="A221" s="72" t="s">
        <v>64</v>
      </c>
      <c r="B221" s="74" t="s">
        <v>18</v>
      </c>
      <c r="C221" s="74" t="s">
        <v>13</v>
      </c>
      <c r="D221" s="74" t="s">
        <v>202</v>
      </c>
      <c r="E221" s="75" t="s">
        <v>65</v>
      </c>
      <c r="F221" s="54">
        <f>' первое чтение вед стр-ра'!G233</f>
        <v>3.3</v>
      </c>
      <c r="G221" s="54">
        <f>' первое чтение вед стр-ра'!H233</f>
        <v>0</v>
      </c>
      <c r="H221" s="54">
        <f>' первое чтение вед стр-ра'!I233</f>
        <v>0</v>
      </c>
    </row>
    <row r="222" spans="1:8" s="21" customFormat="1" ht="25.5" customHeight="1" x14ac:dyDescent="0.2">
      <c r="A222" s="28" t="s">
        <v>74</v>
      </c>
      <c r="B222" s="24" t="s">
        <v>18</v>
      </c>
      <c r="C222" s="24" t="s">
        <v>13</v>
      </c>
      <c r="D222" s="24" t="s">
        <v>202</v>
      </c>
      <c r="E222" s="27" t="s">
        <v>66</v>
      </c>
      <c r="F222" s="54">
        <f>' первое чтение вед стр-ра'!G234</f>
        <v>7230.4000000000005</v>
      </c>
      <c r="G222" s="54">
        <f>' первое чтение вед стр-ра'!H234</f>
        <v>4007.8</v>
      </c>
      <c r="H222" s="54">
        <f>' первое чтение вед стр-ра'!I234</f>
        <v>3193.7</v>
      </c>
    </row>
    <row r="223" spans="1:8" s="21" customFormat="1" ht="12.75" customHeight="1" x14ac:dyDescent="0.2">
      <c r="A223" s="28" t="s">
        <v>70</v>
      </c>
      <c r="B223" s="24" t="s">
        <v>18</v>
      </c>
      <c r="C223" s="24" t="s">
        <v>13</v>
      </c>
      <c r="D223" s="24" t="s">
        <v>202</v>
      </c>
      <c r="E223" s="24" t="s">
        <v>71</v>
      </c>
      <c r="F223" s="54">
        <f>' первое чтение вед стр-ра'!G235</f>
        <v>320.89999999999998</v>
      </c>
      <c r="G223" s="54">
        <f>' первое чтение вед стр-ра'!H235</f>
        <v>305.10000000000002</v>
      </c>
      <c r="H223" s="54">
        <f>' первое чтение вед стр-ра'!I235</f>
        <v>305.10000000000002</v>
      </c>
    </row>
    <row r="224" spans="1:8" ht="76.5" customHeight="1" x14ac:dyDescent="0.2">
      <c r="A224" s="18" t="s">
        <v>587</v>
      </c>
      <c r="B224" s="19" t="s">
        <v>18</v>
      </c>
      <c r="C224" s="19" t="s">
        <v>13</v>
      </c>
      <c r="D224" s="19" t="s">
        <v>586</v>
      </c>
      <c r="E224" s="19"/>
      <c r="F224" s="20">
        <f>F225</f>
        <v>3525.6</v>
      </c>
      <c r="G224" s="20">
        <f t="shared" ref="G224:H224" si="48">G225</f>
        <v>3525.6</v>
      </c>
      <c r="H224" s="20">
        <f t="shared" si="48"/>
        <v>3525.6</v>
      </c>
    </row>
    <row r="225" spans="1:8" s="26" customFormat="1" ht="25.5" customHeight="1" x14ac:dyDescent="0.2">
      <c r="A225" s="28" t="s">
        <v>74</v>
      </c>
      <c r="B225" s="24" t="s">
        <v>18</v>
      </c>
      <c r="C225" s="24" t="s">
        <v>13</v>
      </c>
      <c r="D225" s="24" t="s">
        <v>586</v>
      </c>
      <c r="E225" s="27" t="s">
        <v>63</v>
      </c>
      <c r="F225" s="25">
        <f>' первое чтение вед стр-ра'!G237</f>
        <v>3525.6</v>
      </c>
      <c r="G225" s="25">
        <f>' первое чтение вед стр-ра'!H237</f>
        <v>3525.6</v>
      </c>
      <c r="H225" s="25">
        <f>' первое чтение вед стр-ра'!I237</f>
        <v>3525.6</v>
      </c>
    </row>
    <row r="226" spans="1:8" s="21" customFormat="1" ht="25.5" customHeight="1" x14ac:dyDescent="0.2">
      <c r="A226" s="18" t="s">
        <v>199</v>
      </c>
      <c r="B226" s="19" t="s">
        <v>18</v>
      </c>
      <c r="C226" s="19" t="s">
        <v>13</v>
      </c>
      <c r="D226" s="19" t="s">
        <v>116</v>
      </c>
      <c r="E226" s="19"/>
      <c r="F226" s="20">
        <f>F228+F227</f>
        <v>365</v>
      </c>
      <c r="G226" s="20">
        <f t="shared" ref="G226:H226" si="49">G228+G227</f>
        <v>365</v>
      </c>
      <c r="H226" s="20">
        <f t="shared" si="49"/>
        <v>365</v>
      </c>
    </row>
    <row r="227" spans="1:8" s="26" customFormat="1" ht="25.5" customHeight="1" x14ac:dyDescent="0.2">
      <c r="A227" s="28" t="s">
        <v>74</v>
      </c>
      <c r="B227" s="24" t="s">
        <v>18</v>
      </c>
      <c r="C227" s="24" t="s">
        <v>13</v>
      </c>
      <c r="D227" s="24" t="s">
        <v>116</v>
      </c>
      <c r="E227" s="27" t="s">
        <v>66</v>
      </c>
      <c r="F227" s="25">
        <f>' первое чтение вед стр-ра'!G239</f>
        <v>57.7</v>
      </c>
      <c r="G227" s="25">
        <f>' первое чтение вед стр-ра'!H239</f>
        <v>57.7</v>
      </c>
      <c r="H227" s="25">
        <f>' первое чтение вед стр-ра'!I239</f>
        <v>57.7</v>
      </c>
    </row>
    <row r="228" spans="1:8" s="21" customFormat="1" ht="25.5" customHeight="1" x14ac:dyDescent="0.2">
      <c r="A228" s="28" t="s">
        <v>119</v>
      </c>
      <c r="B228" s="24" t="s">
        <v>18</v>
      </c>
      <c r="C228" s="24" t="s">
        <v>13</v>
      </c>
      <c r="D228" s="24" t="s">
        <v>116</v>
      </c>
      <c r="E228" s="24" t="s">
        <v>63</v>
      </c>
      <c r="F228" s="25">
        <f>' первое чтение вед стр-ра'!G240</f>
        <v>307.3</v>
      </c>
      <c r="G228" s="25">
        <f>' первое чтение вед стр-ра'!H240</f>
        <v>307.3</v>
      </c>
      <c r="H228" s="25">
        <f>' первое чтение вед стр-ра'!I240</f>
        <v>307.3</v>
      </c>
    </row>
    <row r="229" spans="1:8" s="21" customFormat="1" ht="25.5" customHeight="1" x14ac:dyDescent="0.2">
      <c r="A229" s="18" t="s">
        <v>204</v>
      </c>
      <c r="B229" s="19" t="s">
        <v>18</v>
      </c>
      <c r="C229" s="19" t="s">
        <v>13</v>
      </c>
      <c r="D229" s="19" t="s">
        <v>117</v>
      </c>
      <c r="E229" s="19"/>
      <c r="F229" s="20">
        <f>F231+F230</f>
        <v>1209</v>
      </c>
      <c r="G229" s="20">
        <f>G231+G230</f>
        <v>1209</v>
      </c>
      <c r="H229" s="20">
        <f>H231+H230</f>
        <v>1209</v>
      </c>
    </row>
    <row r="230" spans="1:8" s="9" customFormat="1" ht="12.75" customHeight="1" x14ac:dyDescent="0.2">
      <c r="A230" s="28" t="s">
        <v>67</v>
      </c>
      <c r="B230" s="24" t="s">
        <v>18</v>
      </c>
      <c r="C230" s="24" t="s">
        <v>13</v>
      </c>
      <c r="D230" s="19" t="s">
        <v>117</v>
      </c>
      <c r="E230" s="24" t="s">
        <v>68</v>
      </c>
      <c r="F230" s="25">
        <f>' первое чтение вед стр-ра'!G242</f>
        <v>31.1</v>
      </c>
      <c r="G230" s="25">
        <f>' первое чтение вед стр-ра'!H242</f>
        <v>31.1</v>
      </c>
      <c r="H230" s="25">
        <f>' первое чтение вед стр-ра'!I242</f>
        <v>31.1</v>
      </c>
    </row>
    <row r="231" spans="1:8" s="21" customFormat="1" ht="25.5" customHeight="1" x14ac:dyDescent="0.2">
      <c r="A231" s="28" t="s">
        <v>119</v>
      </c>
      <c r="B231" s="24" t="s">
        <v>18</v>
      </c>
      <c r="C231" s="24" t="s">
        <v>13</v>
      </c>
      <c r="D231" s="19" t="s">
        <v>117</v>
      </c>
      <c r="E231" s="24" t="s">
        <v>63</v>
      </c>
      <c r="F231" s="25">
        <f>' первое чтение вед стр-ра'!G243</f>
        <v>1177.9000000000001</v>
      </c>
      <c r="G231" s="25">
        <f>' первое чтение вед стр-ра'!H243</f>
        <v>1177.9000000000001</v>
      </c>
      <c r="H231" s="25">
        <f>' первое чтение вед стр-ра'!I243</f>
        <v>1177.9000000000001</v>
      </c>
    </row>
    <row r="232" spans="1:8" s="71" customFormat="1" ht="12.75" customHeight="1" x14ac:dyDescent="0.2">
      <c r="A232" s="67" t="s">
        <v>284</v>
      </c>
      <c r="B232" s="69" t="s">
        <v>18</v>
      </c>
      <c r="C232" s="69" t="s">
        <v>13</v>
      </c>
      <c r="D232" s="69" t="s">
        <v>274</v>
      </c>
      <c r="E232" s="69"/>
      <c r="F232" s="70">
        <f>F234+F233</f>
        <v>250</v>
      </c>
      <c r="G232" s="70">
        <f>G234+G233</f>
        <v>0</v>
      </c>
      <c r="H232" s="70">
        <f>H234+H233</f>
        <v>0</v>
      </c>
    </row>
    <row r="233" spans="1:8" s="21" customFormat="1" ht="12.75" customHeight="1" x14ac:dyDescent="0.2">
      <c r="A233" s="28" t="s">
        <v>67</v>
      </c>
      <c r="B233" s="24" t="s">
        <v>18</v>
      </c>
      <c r="C233" s="24" t="s">
        <v>13</v>
      </c>
      <c r="D233" s="19" t="s">
        <v>274</v>
      </c>
      <c r="E233" s="24" t="s">
        <v>68</v>
      </c>
      <c r="F233" s="25">
        <f>' первое чтение вед стр-ра'!G245</f>
        <v>20</v>
      </c>
      <c r="G233" s="25">
        <f>' первое чтение вед стр-ра'!H245</f>
        <v>0</v>
      </c>
      <c r="H233" s="25">
        <f>' первое чтение вед стр-ра'!I245</f>
        <v>0</v>
      </c>
    </row>
    <row r="234" spans="1:8" s="71" customFormat="1" ht="25.5" customHeight="1" x14ac:dyDescent="0.2">
      <c r="A234" s="79" t="s">
        <v>119</v>
      </c>
      <c r="B234" s="74" t="s">
        <v>18</v>
      </c>
      <c r="C234" s="74" t="s">
        <v>13</v>
      </c>
      <c r="D234" s="69" t="s">
        <v>274</v>
      </c>
      <c r="E234" s="74" t="s">
        <v>63</v>
      </c>
      <c r="F234" s="25">
        <f>' первое чтение вед стр-ра'!G246</f>
        <v>230</v>
      </c>
      <c r="G234" s="25">
        <f>' первое чтение вед стр-ра'!H246</f>
        <v>0</v>
      </c>
      <c r="H234" s="25">
        <f>' первое чтение вед стр-ра'!I246</f>
        <v>0</v>
      </c>
    </row>
    <row r="235" spans="1:8" s="21" customFormat="1" ht="12.75" customHeight="1" x14ac:dyDescent="0.2">
      <c r="A235" s="11" t="s">
        <v>275</v>
      </c>
      <c r="B235" s="8" t="s">
        <v>18</v>
      </c>
      <c r="C235" s="8" t="s">
        <v>15</v>
      </c>
      <c r="D235" s="8"/>
      <c r="E235" s="8"/>
      <c r="F235" s="4">
        <f>F240+F238+F236+F243</f>
        <v>162230.00000000003</v>
      </c>
      <c r="G235" s="4">
        <f t="shared" ref="G235:H235" si="50">G240+G238+G236+G243</f>
        <v>167301.5</v>
      </c>
      <c r="H235" s="4">
        <f t="shared" si="50"/>
        <v>163836.90000000002</v>
      </c>
    </row>
    <row r="236" spans="1:8" s="21" customFormat="1" ht="25.5" customHeight="1" x14ac:dyDescent="0.2">
      <c r="A236" s="17" t="s">
        <v>135</v>
      </c>
      <c r="B236" s="19" t="s">
        <v>18</v>
      </c>
      <c r="C236" s="19" t="s">
        <v>15</v>
      </c>
      <c r="D236" s="19" t="s">
        <v>134</v>
      </c>
      <c r="E236" s="5"/>
      <c r="F236" s="6">
        <f>F237</f>
        <v>2349.1999999999998</v>
      </c>
      <c r="G236" s="6">
        <f t="shared" ref="G236:H236" si="51">G237</f>
        <v>335.4</v>
      </c>
      <c r="H236" s="6">
        <f t="shared" si="51"/>
        <v>335.4</v>
      </c>
    </row>
    <row r="237" spans="1:8" s="21" customFormat="1" ht="25.5" customHeight="1" x14ac:dyDescent="0.2">
      <c r="A237" s="28" t="s">
        <v>119</v>
      </c>
      <c r="B237" s="24" t="s">
        <v>18</v>
      </c>
      <c r="C237" s="24" t="s">
        <v>15</v>
      </c>
      <c r="D237" s="24" t="s">
        <v>134</v>
      </c>
      <c r="E237" s="24" t="s">
        <v>63</v>
      </c>
      <c r="F237" s="25">
        <f>' первое чтение вед стр-ра'!G249+' первое чтение вед стр-ра'!G341</f>
        <v>2349.1999999999998</v>
      </c>
      <c r="G237" s="25">
        <f>' первое чтение вед стр-ра'!H249+' первое чтение вед стр-ра'!H341</f>
        <v>335.4</v>
      </c>
      <c r="H237" s="25">
        <f>' первое чтение вед стр-ра'!I249+' первое чтение вед стр-ра'!I341</f>
        <v>335.4</v>
      </c>
    </row>
    <row r="238" spans="1:8" s="21" customFormat="1" x14ac:dyDescent="0.2">
      <c r="A238" s="18" t="s">
        <v>142</v>
      </c>
      <c r="B238" s="19" t="s">
        <v>18</v>
      </c>
      <c r="C238" s="19" t="s">
        <v>15</v>
      </c>
      <c r="D238" s="19" t="s">
        <v>141</v>
      </c>
      <c r="E238" s="19"/>
      <c r="F238" s="20">
        <f>F239</f>
        <v>0</v>
      </c>
      <c r="G238" s="20">
        <f t="shared" ref="G238:H238" si="52">G239</f>
        <v>16812.599999999999</v>
      </c>
      <c r="H238" s="20">
        <f t="shared" si="52"/>
        <v>16812.599999999999</v>
      </c>
    </row>
    <row r="239" spans="1:8" s="26" customFormat="1" ht="23.25" customHeight="1" x14ac:dyDescent="0.2">
      <c r="A239" s="28" t="s">
        <v>80</v>
      </c>
      <c r="B239" s="24" t="s">
        <v>18</v>
      </c>
      <c r="C239" s="24" t="s">
        <v>15</v>
      </c>
      <c r="D239" s="24" t="s">
        <v>141</v>
      </c>
      <c r="E239" s="24" t="s">
        <v>69</v>
      </c>
      <c r="F239" s="25">
        <f>' первое чтение вед стр-ра'!G343</f>
        <v>0</v>
      </c>
      <c r="G239" s="25">
        <f>' первое чтение вед стр-ра'!H343</f>
        <v>16812.599999999999</v>
      </c>
      <c r="H239" s="25">
        <f>' первое чтение вед стр-ра'!I343</f>
        <v>16812.599999999999</v>
      </c>
    </row>
    <row r="240" spans="1:8" s="21" customFormat="1" ht="52.5" customHeight="1" x14ac:dyDescent="0.2">
      <c r="A240" s="18" t="s">
        <v>281</v>
      </c>
      <c r="B240" s="19" t="s">
        <v>18</v>
      </c>
      <c r="C240" s="19" t="s">
        <v>15</v>
      </c>
      <c r="D240" s="19" t="s">
        <v>201</v>
      </c>
      <c r="E240" s="19"/>
      <c r="F240" s="20">
        <f>F242+F241</f>
        <v>145275.20000000001</v>
      </c>
      <c r="G240" s="20">
        <f t="shared" ref="G240:H240" si="53">G242+G241</f>
        <v>135547.9</v>
      </c>
      <c r="H240" s="20">
        <f t="shared" si="53"/>
        <v>132083.30000000002</v>
      </c>
    </row>
    <row r="241" spans="1:8" s="26" customFormat="1" ht="12.75" customHeight="1" x14ac:dyDescent="0.2">
      <c r="A241" s="28" t="s">
        <v>67</v>
      </c>
      <c r="B241" s="24" t="s">
        <v>18</v>
      </c>
      <c r="C241" s="24" t="s">
        <v>15</v>
      </c>
      <c r="D241" s="24" t="s">
        <v>201</v>
      </c>
      <c r="E241" s="27" t="s">
        <v>68</v>
      </c>
      <c r="F241" s="25">
        <f>' первое чтение вед стр-ра'!G345</f>
        <v>30</v>
      </c>
      <c r="G241" s="25">
        <f>' первое чтение вед стр-ра'!H345</f>
        <v>0</v>
      </c>
      <c r="H241" s="25">
        <f>' первое чтение вед стр-ра'!I345</f>
        <v>0</v>
      </c>
    </row>
    <row r="242" spans="1:8" s="21" customFormat="1" ht="25.5" customHeight="1" x14ac:dyDescent="0.2">
      <c r="A242" s="28" t="s">
        <v>119</v>
      </c>
      <c r="B242" s="24" t="s">
        <v>18</v>
      </c>
      <c r="C242" s="24" t="s">
        <v>15</v>
      </c>
      <c r="D242" s="24" t="s">
        <v>201</v>
      </c>
      <c r="E242" s="24" t="s">
        <v>63</v>
      </c>
      <c r="F242" s="54">
        <f>' первое чтение вед стр-ра'!G346+' первое чтение вед стр-ра'!G251</f>
        <v>145245.20000000001</v>
      </c>
      <c r="G242" s="54">
        <f>' первое чтение вед стр-ра'!H346+' первое чтение вед стр-ра'!H251</f>
        <v>135547.9</v>
      </c>
      <c r="H242" s="54">
        <f>' первое чтение вед стр-ра'!I346+' первое чтение вед стр-ра'!I251</f>
        <v>132083.30000000002</v>
      </c>
    </row>
    <row r="243" spans="1:8" ht="25.5" customHeight="1" x14ac:dyDescent="0.2">
      <c r="A243" s="18" t="s">
        <v>543</v>
      </c>
      <c r="B243" s="19" t="s">
        <v>18</v>
      </c>
      <c r="C243" s="19" t="s">
        <v>15</v>
      </c>
      <c r="D243" s="19" t="s">
        <v>544</v>
      </c>
      <c r="E243" s="19"/>
      <c r="F243" s="54">
        <f>F244</f>
        <v>14605.6</v>
      </c>
      <c r="G243" s="54">
        <f t="shared" ref="G243:H243" si="54">G244</f>
        <v>14605.6</v>
      </c>
      <c r="H243" s="54">
        <f t="shared" si="54"/>
        <v>14605.6</v>
      </c>
    </row>
    <row r="244" spans="1:8" ht="25.5" customHeight="1" x14ac:dyDescent="0.2">
      <c r="A244" s="28" t="s">
        <v>119</v>
      </c>
      <c r="B244" s="24" t="s">
        <v>18</v>
      </c>
      <c r="C244" s="24" t="s">
        <v>15</v>
      </c>
      <c r="D244" s="24" t="s">
        <v>544</v>
      </c>
      <c r="E244" s="24" t="s">
        <v>63</v>
      </c>
      <c r="F244" s="54">
        <f>' первое чтение вед стр-ра'!G253</f>
        <v>14605.6</v>
      </c>
      <c r="G244" s="54">
        <f>' первое чтение вед стр-ра'!H253</f>
        <v>14605.6</v>
      </c>
      <c r="H244" s="54">
        <f>' первое чтение вед стр-ра'!I253</f>
        <v>14605.6</v>
      </c>
    </row>
    <row r="245" spans="1:8" s="21" customFormat="1" ht="12.75" customHeight="1" x14ac:dyDescent="0.2">
      <c r="A245" s="11" t="s">
        <v>38</v>
      </c>
      <c r="B245" s="8" t="s">
        <v>18</v>
      </c>
      <c r="C245" s="8" t="s">
        <v>18</v>
      </c>
      <c r="D245" s="8"/>
      <c r="E245" s="8"/>
      <c r="F245" s="4">
        <f>F248+F246+F250</f>
        <v>372.7</v>
      </c>
      <c r="G245" s="4">
        <f t="shared" ref="G245:H245" si="55">G248+G246+G250</f>
        <v>340.7</v>
      </c>
      <c r="H245" s="4">
        <f t="shared" si="55"/>
        <v>340.7</v>
      </c>
    </row>
    <row r="246" spans="1:8" s="21" customFormat="1" ht="12.75" customHeight="1" x14ac:dyDescent="0.2">
      <c r="A246" s="18" t="s">
        <v>226</v>
      </c>
      <c r="B246" s="19" t="s">
        <v>18</v>
      </c>
      <c r="C246" s="19" t="s">
        <v>18</v>
      </c>
      <c r="D246" s="19" t="s">
        <v>118</v>
      </c>
      <c r="E246" s="19"/>
      <c r="F246" s="20">
        <f t="shared" ref="F246:H246" si="56">F247</f>
        <v>219.6</v>
      </c>
      <c r="G246" s="20">
        <f t="shared" si="56"/>
        <v>219.6</v>
      </c>
      <c r="H246" s="20">
        <f t="shared" si="56"/>
        <v>219.6</v>
      </c>
    </row>
    <row r="247" spans="1:8" s="21" customFormat="1" ht="51" customHeight="1" x14ac:dyDescent="0.2">
      <c r="A247" s="23" t="s">
        <v>64</v>
      </c>
      <c r="B247" s="24" t="s">
        <v>18</v>
      </c>
      <c r="C247" s="24" t="s">
        <v>18</v>
      </c>
      <c r="D247" s="24" t="s">
        <v>118</v>
      </c>
      <c r="E247" s="27" t="s">
        <v>65</v>
      </c>
      <c r="F247" s="25">
        <f>' первое чтение вед стр-ра'!G385</f>
        <v>219.6</v>
      </c>
      <c r="G247" s="25">
        <f>' первое чтение вед стр-ра'!H385</f>
        <v>219.6</v>
      </c>
      <c r="H247" s="25">
        <f>' первое чтение вед стр-ра'!I385</f>
        <v>219.6</v>
      </c>
    </row>
    <row r="248" spans="1:8" s="21" customFormat="1" ht="25.5" customHeight="1" x14ac:dyDescent="0.2">
      <c r="A248" s="18" t="s">
        <v>146</v>
      </c>
      <c r="B248" s="19" t="s">
        <v>18</v>
      </c>
      <c r="C248" s="19" t="s">
        <v>18</v>
      </c>
      <c r="D248" s="19" t="s">
        <v>145</v>
      </c>
      <c r="E248" s="19"/>
      <c r="F248" s="20">
        <f>F249</f>
        <v>121.1</v>
      </c>
      <c r="G248" s="20">
        <f>G249</f>
        <v>121.1</v>
      </c>
      <c r="H248" s="20">
        <f>H249</f>
        <v>121.1</v>
      </c>
    </row>
    <row r="249" spans="1:8" s="21" customFormat="1" ht="25.5" customHeight="1" x14ac:dyDescent="0.2">
      <c r="A249" s="28" t="s">
        <v>74</v>
      </c>
      <c r="B249" s="24" t="s">
        <v>18</v>
      </c>
      <c r="C249" s="24" t="s">
        <v>18</v>
      </c>
      <c r="D249" s="24" t="s">
        <v>145</v>
      </c>
      <c r="E249" s="27" t="s">
        <v>66</v>
      </c>
      <c r="F249" s="25">
        <f>' первое чтение вед стр-ра'!G88</f>
        <v>121.1</v>
      </c>
      <c r="G249" s="25">
        <f>' первое чтение вед стр-ра'!H88</f>
        <v>121.1</v>
      </c>
      <c r="H249" s="25">
        <f>' первое чтение вед стр-ра'!I88</f>
        <v>121.1</v>
      </c>
    </row>
    <row r="250" spans="1:8" ht="25.5" customHeight="1" x14ac:dyDescent="0.2">
      <c r="A250" s="18" t="s">
        <v>556</v>
      </c>
      <c r="B250" s="19" t="s">
        <v>18</v>
      </c>
      <c r="C250" s="19" t="s">
        <v>18</v>
      </c>
      <c r="D250" s="19" t="s">
        <v>555</v>
      </c>
      <c r="E250" s="19"/>
      <c r="F250" s="20">
        <f>F252+F251</f>
        <v>32</v>
      </c>
      <c r="G250" s="20">
        <f>G252+G251</f>
        <v>0</v>
      </c>
      <c r="H250" s="20">
        <f>H252+H251</f>
        <v>0</v>
      </c>
    </row>
    <row r="251" spans="1:8" ht="51" customHeight="1" x14ac:dyDescent="0.2">
      <c r="A251" s="23" t="s">
        <v>64</v>
      </c>
      <c r="B251" s="24" t="s">
        <v>18</v>
      </c>
      <c r="C251" s="24" t="s">
        <v>18</v>
      </c>
      <c r="D251" s="24" t="s">
        <v>555</v>
      </c>
      <c r="E251" s="27" t="s">
        <v>65</v>
      </c>
      <c r="F251" s="25">
        <f>' первое чтение вед стр-ра'!G382</f>
        <v>19.33426</v>
      </c>
      <c r="G251" s="25">
        <f>' первое чтение вед стр-ра'!H382</f>
        <v>0</v>
      </c>
      <c r="H251" s="25">
        <f>' первое чтение вед стр-ра'!I382</f>
        <v>0</v>
      </c>
    </row>
    <row r="252" spans="1:8" ht="25.5" customHeight="1" x14ac:dyDescent="0.2">
      <c r="A252" s="28" t="s">
        <v>74</v>
      </c>
      <c r="B252" s="24" t="s">
        <v>18</v>
      </c>
      <c r="C252" s="24" t="s">
        <v>18</v>
      </c>
      <c r="D252" s="24" t="s">
        <v>555</v>
      </c>
      <c r="E252" s="27" t="s">
        <v>66</v>
      </c>
      <c r="F252" s="25">
        <f>' первое чтение вед стр-ра'!G383</f>
        <v>12.66574</v>
      </c>
      <c r="G252" s="25">
        <f>' первое чтение вед стр-ра'!H383</f>
        <v>0</v>
      </c>
      <c r="H252" s="25">
        <f>' первое чтение вед стр-ра'!I383</f>
        <v>0</v>
      </c>
    </row>
    <row r="253" spans="1:8" s="71" customFormat="1" ht="12.75" customHeight="1" x14ac:dyDescent="0.2">
      <c r="A253" s="62" t="s">
        <v>39</v>
      </c>
      <c r="B253" s="64" t="s">
        <v>18</v>
      </c>
      <c r="C253" s="64" t="s">
        <v>25</v>
      </c>
      <c r="D253" s="64"/>
      <c r="E253" s="64"/>
      <c r="F253" s="65">
        <f>F259+F262+F264+F267+F270+F274+F277+F279+F256+F254</f>
        <v>83161.5</v>
      </c>
      <c r="G253" s="65">
        <f t="shared" ref="G253:H253" si="57">G259+G262+G264+G267+G270+G274+G277+G279+G256+G254</f>
        <v>76780.200000000012</v>
      </c>
      <c r="H253" s="65">
        <f t="shared" si="57"/>
        <v>75227.600000000006</v>
      </c>
    </row>
    <row r="254" spans="1:8" s="71" customFormat="1" ht="25.5" customHeight="1" x14ac:dyDescent="0.2">
      <c r="A254" s="81" t="s">
        <v>135</v>
      </c>
      <c r="B254" s="69" t="s">
        <v>18</v>
      </c>
      <c r="C254" s="69" t="s">
        <v>25</v>
      </c>
      <c r="D254" s="69" t="s">
        <v>134</v>
      </c>
      <c r="E254" s="82"/>
      <c r="F254" s="83">
        <f>F255</f>
        <v>66</v>
      </c>
      <c r="G254" s="83">
        <f t="shared" ref="G254:H254" si="58">G255</f>
        <v>26</v>
      </c>
      <c r="H254" s="83">
        <f t="shared" si="58"/>
        <v>26</v>
      </c>
    </row>
    <row r="255" spans="1:8" s="71" customFormat="1" ht="25.5" customHeight="1" x14ac:dyDescent="0.2">
      <c r="A255" s="79" t="s">
        <v>119</v>
      </c>
      <c r="B255" s="74" t="s">
        <v>18</v>
      </c>
      <c r="C255" s="74" t="s">
        <v>25</v>
      </c>
      <c r="D255" s="74" t="s">
        <v>134</v>
      </c>
      <c r="E255" s="74" t="s">
        <v>63</v>
      </c>
      <c r="F255" s="54">
        <f>' первое чтение вед стр-ра'!G256</f>
        <v>66</v>
      </c>
      <c r="G255" s="54">
        <f>' первое чтение вед стр-ра'!H256</f>
        <v>26</v>
      </c>
      <c r="H255" s="54">
        <f>' первое чтение вед стр-ра'!I256</f>
        <v>26</v>
      </c>
    </row>
    <row r="256" spans="1:8" s="21" customFormat="1" ht="25.5" customHeight="1" x14ac:dyDescent="0.2">
      <c r="A256" s="18" t="s">
        <v>156</v>
      </c>
      <c r="B256" s="19" t="s">
        <v>18</v>
      </c>
      <c r="C256" s="19" t="s">
        <v>25</v>
      </c>
      <c r="D256" s="19" t="s">
        <v>115</v>
      </c>
      <c r="E256" s="19"/>
      <c r="F256" s="20">
        <f>F258+F257</f>
        <v>4445</v>
      </c>
      <c r="G256" s="20">
        <f t="shared" ref="G256:H256" si="59">G258+G257</f>
        <v>4445</v>
      </c>
      <c r="H256" s="20">
        <f t="shared" si="59"/>
        <v>4445</v>
      </c>
    </row>
    <row r="257" spans="1:8" s="21" customFormat="1" ht="25.5" customHeight="1" x14ac:dyDescent="0.2">
      <c r="A257" s="28" t="s">
        <v>74</v>
      </c>
      <c r="B257" s="24" t="s">
        <v>18</v>
      </c>
      <c r="C257" s="24" t="s">
        <v>25</v>
      </c>
      <c r="D257" s="24" t="s">
        <v>115</v>
      </c>
      <c r="E257" s="24" t="s">
        <v>66</v>
      </c>
      <c r="F257" s="25">
        <f>' первое чтение вед стр-ра'!G258</f>
        <v>101.25</v>
      </c>
      <c r="G257" s="25">
        <f>' первое чтение вед стр-ра'!H258</f>
        <v>101.25</v>
      </c>
      <c r="H257" s="25">
        <f>' первое чтение вед стр-ра'!I258</f>
        <v>101.25</v>
      </c>
    </row>
    <row r="258" spans="1:8" s="71" customFormat="1" ht="25.5" customHeight="1" x14ac:dyDescent="0.2">
      <c r="A258" s="79" t="s">
        <v>119</v>
      </c>
      <c r="B258" s="74" t="s">
        <v>18</v>
      </c>
      <c r="C258" s="74" t="s">
        <v>25</v>
      </c>
      <c r="D258" s="74" t="s">
        <v>115</v>
      </c>
      <c r="E258" s="74" t="s">
        <v>63</v>
      </c>
      <c r="F258" s="54">
        <f>' первое чтение вед стр-ра'!G259</f>
        <v>4343.75</v>
      </c>
      <c r="G258" s="54">
        <f>' первое чтение вед стр-ра'!H259</f>
        <v>4343.75</v>
      </c>
      <c r="H258" s="54">
        <f>' первое чтение вед стр-ра'!I259</f>
        <v>4343.75</v>
      </c>
    </row>
    <row r="259" spans="1:8" s="21" customFormat="1" ht="102" customHeight="1" x14ac:dyDescent="0.2">
      <c r="A259" s="18" t="s">
        <v>336</v>
      </c>
      <c r="B259" s="5" t="s">
        <v>18</v>
      </c>
      <c r="C259" s="5" t="s">
        <v>25</v>
      </c>
      <c r="D259" s="5" t="s">
        <v>103</v>
      </c>
      <c r="E259" s="19"/>
      <c r="F259" s="20">
        <f>F260+F261</f>
        <v>3245.9</v>
      </c>
      <c r="G259" s="20">
        <f>G260+G261</f>
        <v>3245.9</v>
      </c>
      <c r="H259" s="20">
        <f>H260+H261</f>
        <v>3245.9</v>
      </c>
    </row>
    <row r="260" spans="1:8" s="21" customFormat="1" ht="51" customHeight="1" x14ac:dyDescent="0.2">
      <c r="A260" s="23" t="s">
        <v>64</v>
      </c>
      <c r="B260" s="24" t="s">
        <v>18</v>
      </c>
      <c r="C260" s="24" t="s">
        <v>25</v>
      </c>
      <c r="D260" s="24" t="s">
        <v>103</v>
      </c>
      <c r="E260" s="27" t="s">
        <v>65</v>
      </c>
      <c r="F260" s="25">
        <f>' первое чтение вед стр-ра'!G273</f>
        <v>2869.4</v>
      </c>
      <c r="G260" s="25">
        <f>' первое чтение вед стр-ра'!H273</f>
        <v>2869.4</v>
      </c>
      <c r="H260" s="25">
        <f>' первое чтение вед стр-ра'!I273</f>
        <v>2869.4</v>
      </c>
    </row>
    <row r="261" spans="1:8" s="21" customFormat="1" ht="25.5" customHeight="1" x14ac:dyDescent="0.2">
      <c r="A261" s="28" t="s">
        <v>74</v>
      </c>
      <c r="B261" s="24" t="s">
        <v>18</v>
      </c>
      <c r="C261" s="24" t="s">
        <v>25</v>
      </c>
      <c r="D261" s="24" t="s">
        <v>103</v>
      </c>
      <c r="E261" s="27" t="s">
        <v>66</v>
      </c>
      <c r="F261" s="25">
        <f>' первое чтение вед стр-ра'!G274</f>
        <v>376.5</v>
      </c>
      <c r="G261" s="25">
        <f>' первое чтение вед стр-ра'!H274</f>
        <v>376.5</v>
      </c>
      <c r="H261" s="25">
        <f>' первое чтение вед стр-ра'!I274</f>
        <v>376.5</v>
      </c>
    </row>
    <row r="262" spans="1:8" s="21" customFormat="1" ht="25.5" customHeight="1" x14ac:dyDescent="0.2">
      <c r="A262" s="18" t="s">
        <v>282</v>
      </c>
      <c r="B262" s="19" t="s">
        <v>18</v>
      </c>
      <c r="C262" s="19" t="s">
        <v>25</v>
      </c>
      <c r="D262" s="19" t="s">
        <v>206</v>
      </c>
      <c r="E262" s="19"/>
      <c r="F262" s="20">
        <f>F263</f>
        <v>140</v>
      </c>
      <c r="G262" s="20">
        <f t="shared" ref="G262:H262" si="60">G263</f>
        <v>0</v>
      </c>
      <c r="H262" s="20">
        <f t="shared" si="60"/>
        <v>0</v>
      </c>
    </row>
    <row r="263" spans="1:8" s="26" customFormat="1" ht="25.5" customHeight="1" x14ac:dyDescent="0.2">
      <c r="A263" s="28" t="s">
        <v>119</v>
      </c>
      <c r="B263" s="24" t="s">
        <v>18</v>
      </c>
      <c r="C263" s="24" t="s">
        <v>25</v>
      </c>
      <c r="D263" s="24" t="s">
        <v>206</v>
      </c>
      <c r="E263" s="24" t="s">
        <v>63</v>
      </c>
      <c r="F263" s="25">
        <f>' первое чтение вед стр-ра'!G261</f>
        <v>140</v>
      </c>
      <c r="G263" s="25">
        <f>' первое чтение вед стр-ра'!H261</f>
        <v>0</v>
      </c>
      <c r="H263" s="25">
        <f>' первое чтение вед стр-ра'!I261</f>
        <v>0</v>
      </c>
    </row>
    <row r="264" spans="1:8" s="71" customFormat="1" ht="25.5" customHeight="1" x14ac:dyDescent="0.2">
      <c r="A264" s="67" t="s">
        <v>282</v>
      </c>
      <c r="B264" s="69" t="s">
        <v>18</v>
      </c>
      <c r="C264" s="69" t="s">
        <v>25</v>
      </c>
      <c r="D264" s="69" t="s">
        <v>157</v>
      </c>
      <c r="E264" s="69"/>
      <c r="F264" s="70">
        <f>F266+F265</f>
        <v>326.3</v>
      </c>
      <c r="G264" s="70">
        <f t="shared" ref="G264:H264" si="61">G266+G265</f>
        <v>59.4</v>
      </c>
      <c r="H264" s="70">
        <f t="shared" si="61"/>
        <v>59.4</v>
      </c>
    </row>
    <row r="265" spans="1:8" s="21" customFormat="1" ht="25.5" customHeight="1" x14ac:dyDescent="0.2">
      <c r="A265" s="28" t="s">
        <v>74</v>
      </c>
      <c r="B265" s="24" t="s">
        <v>18</v>
      </c>
      <c r="C265" s="24" t="s">
        <v>25</v>
      </c>
      <c r="D265" s="24" t="s">
        <v>157</v>
      </c>
      <c r="E265" s="24" t="s">
        <v>66</v>
      </c>
      <c r="F265" s="25">
        <f>' первое чтение вед стр-ра'!G263</f>
        <v>4.5</v>
      </c>
      <c r="G265" s="25">
        <f>' первое чтение вед стр-ра'!H263</f>
        <v>0</v>
      </c>
      <c r="H265" s="25">
        <f>' первое чтение вед стр-ра'!I263</f>
        <v>0</v>
      </c>
    </row>
    <row r="266" spans="1:8" s="71" customFormat="1" ht="25.5" customHeight="1" x14ac:dyDescent="0.2">
      <c r="A266" s="79" t="s">
        <v>119</v>
      </c>
      <c r="B266" s="74" t="s">
        <v>18</v>
      </c>
      <c r="C266" s="74" t="s">
        <v>25</v>
      </c>
      <c r="D266" s="74" t="s">
        <v>157</v>
      </c>
      <c r="E266" s="74" t="s">
        <v>63</v>
      </c>
      <c r="F266" s="54">
        <f>' первое чтение вед стр-ра'!G264+' первое чтение вед стр-ра'!G349</f>
        <v>321.8</v>
      </c>
      <c r="G266" s="54">
        <f>' первое чтение вед стр-ра'!H264+' первое чтение вед стр-ра'!H349</f>
        <v>59.4</v>
      </c>
      <c r="H266" s="54">
        <f>' первое чтение вед стр-ра'!I264+' первое чтение вед стр-ра'!I349</f>
        <v>59.4</v>
      </c>
    </row>
    <row r="267" spans="1:8" s="21" customFormat="1" ht="38.25" customHeight="1" x14ac:dyDescent="0.2">
      <c r="A267" s="18" t="s">
        <v>283</v>
      </c>
      <c r="B267" s="19" t="s">
        <v>18</v>
      </c>
      <c r="C267" s="19" t="s">
        <v>25</v>
      </c>
      <c r="D267" s="19" t="s">
        <v>207</v>
      </c>
      <c r="E267" s="19"/>
      <c r="F267" s="20">
        <f>F268+F269</f>
        <v>783.30000000000007</v>
      </c>
      <c r="G267" s="20">
        <f>G268+G269</f>
        <v>0</v>
      </c>
      <c r="H267" s="20">
        <f>H268+H269</f>
        <v>0</v>
      </c>
    </row>
    <row r="268" spans="1:8" s="21" customFormat="1" ht="51" customHeight="1" x14ac:dyDescent="0.2">
      <c r="A268" s="30" t="s">
        <v>64</v>
      </c>
      <c r="B268" s="24" t="s">
        <v>18</v>
      </c>
      <c r="C268" s="24" t="s">
        <v>25</v>
      </c>
      <c r="D268" s="24" t="s">
        <v>207</v>
      </c>
      <c r="E268" s="27" t="s">
        <v>65</v>
      </c>
      <c r="F268" s="25">
        <f>' первое чтение вед стр-ра'!G266</f>
        <v>43.1</v>
      </c>
      <c r="G268" s="25">
        <f>' первое чтение вед стр-ра'!H266</f>
        <v>0</v>
      </c>
      <c r="H268" s="25">
        <f>' первое чтение вед стр-ра'!I266</f>
        <v>0</v>
      </c>
    </row>
    <row r="269" spans="1:8" s="21" customFormat="1" ht="25.5" customHeight="1" x14ac:dyDescent="0.2">
      <c r="A269" s="28" t="s">
        <v>119</v>
      </c>
      <c r="B269" s="24" t="s">
        <v>18</v>
      </c>
      <c r="C269" s="24" t="s">
        <v>25</v>
      </c>
      <c r="D269" s="24" t="s">
        <v>207</v>
      </c>
      <c r="E269" s="24" t="s">
        <v>63</v>
      </c>
      <c r="F269" s="25">
        <f>' первое чтение вед стр-ра'!G267</f>
        <v>740.2</v>
      </c>
      <c r="G269" s="25">
        <f>' первое чтение вед стр-ра'!H267</f>
        <v>0</v>
      </c>
      <c r="H269" s="25">
        <f>' первое чтение вед стр-ра'!I267</f>
        <v>0</v>
      </c>
    </row>
    <row r="270" spans="1:8" s="71" customFormat="1" ht="25.5" customHeight="1" x14ac:dyDescent="0.2">
      <c r="A270" s="67" t="s">
        <v>209</v>
      </c>
      <c r="B270" s="69" t="s">
        <v>18</v>
      </c>
      <c r="C270" s="69" t="s">
        <v>25</v>
      </c>
      <c r="D270" s="69" t="s">
        <v>208</v>
      </c>
      <c r="E270" s="69"/>
      <c r="F270" s="70">
        <f>F273+F272+F271</f>
        <v>567.70000000000005</v>
      </c>
      <c r="G270" s="70">
        <f t="shared" ref="G270:H270" si="62">G273+G272+G271</f>
        <v>516.1</v>
      </c>
      <c r="H270" s="70">
        <f t="shared" si="62"/>
        <v>516.1</v>
      </c>
    </row>
    <row r="271" spans="1:8" s="26" customFormat="1" ht="51" customHeight="1" x14ac:dyDescent="0.2">
      <c r="A271" s="30" t="s">
        <v>64</v>
      </c>
      <c r="B271" s="24" t="s">
        <v>18</v>
      </c>
      <c r="C271" s="24" t="s">
        <v>25</v>
      </c>
      <c r="D271" s="24" t="s">
        <v>208</v>
      </c>
      <c r="E271" s="24" t="s">
        <v>65</v>
      </c>
      <c r="F271" s="25">
        <f>' первое чтение вед стр-ра'!G269</f>
        <v>20.6</v>
      </c>
      <c r="G271" s="25">
        <f>' первое чтение вед стр-ра'!H269</f>
        <v>20.6</v>
      </c>
      <c r="H271" s="25">
        <f>' первое чтение вед стр-ра'!I269</f>
        <v>20.6</v>
      </c>
    </row>
    <row r="272" spans="1:8" s="76" customFormat="1" ht="25.5" customHeight="1" x14ac:dyDescent="0.2">
      <c r="A272" s="79" t="s">
        <v>74</v>
      </c>
      <c r="B272" s="74" t="s">
        <v>18</v>
      </c>
      <c r="C272" s="74" t="s">
        <v>25</v>
      </c>
      <c r="D272" s="74" t="s">
        <v>208</v>
      </c>
      <c r="E272" s="74" t="s">
        <v>66</v>
      </c>
      <c r="F272" s="25">
        <f>' первое чтение вед стр-ра'!G270</f>
        <v>51.6</v>
      </c>
      <c r="G272" s="25">
        <f>' первое чтение вед стр-ра'!H270</f>
        <v>0</v>
      </c>
      <c r="H272" s="25">
        <f>' первое чтение вед стр-ра'!I270</f>
        <v>0</v>
      </c>
    </row>
    <row r="273" spans="1:8" s="21" customFormat="1" ht="25.5" customHeight="1" x14ac:dyDescent="0.2">
      <c r="A273" s="28" t="s">
        <v>119</v>
      </c>
      <c r="B273" s="24" t="s">
        <v>18</v>
      </c>
      <c r="C273" s="24" t="s">
        <v>25</v>
      </c>
      <c r="D273" s="24" t="s">
        <v>208</v>
      </c>
      <c r="E273" s="24" t="s">
        <v>63</v>
      </c>
      <c r="F273" s="25">
        <f>' первое чтение вед стр-ра'!G271</f>
        <v>495.5</v>
      </c>
      <c r="G273" s="25">
        <f>' первое чтение вед стр-ра'!H271</f>
        <v>495.5</v>
      </c>
      <c r="H273" s="25">
        <f>' первое чтение вед стр-ра'!I271</f>
        <v>495.5</v>
      </c>
    </row>
    <row r="274" spans="1:8" s="71" customFormat="1" ht="25.5" customHeight="1" x14ac:dyDescent="0.2">
      <c r="A274" s="67" t="s">
        <v>285</v>
      </c>
      <c r="B274" s="69" t="s">
        <v>18</v>
      </c>
      <c r="C274" s="69" t="s">
        <v>25</v>
      </c>
      <c r="D274" s="69" t="s">
        <v>210</v>
      </c>
      <c r="E274" s="69"/>
      <c r="F274" s="70">
        <f>F275+F276</f>
        <v>4467.2</v>
      </c>
      <c r="G274" s="70">
        <f>G275+G276</f>
        <v>4407.2</v>
      </c>
      <c r="H274" s="70">
        <f>H275+H276</f>
        <v>4407.2</v>
      </c>
    </row>
    <row r="275" spans="1:8" s="21" customFormat="1" ht="51" customHeight="1" x14ac:dyDescent="0.2">
      <c r="A275" s="30" t="s">
        <v>64</v>
      </c>
      <c r="B275" s="24" t="s">
        <v>18</v>
      </c>
      <c r="C275" s="24" t="s">
        <v>25</v>
      </c>
      <c r="D275" s="24" t="s">
        <v>210</v>
      </c>
      <c r="E275" s="27" t="s">
        <v>65</v>
      </c>
      <c r="F275" s="25">
        <f>' первое чтение вед стр-ра'!G276</f>
        <v>4427.2</v>
      </c>
      <c r="G275" s="25">
        <f>' первое чтение вед стр-ра'!H276</f>
        <v>4407.2</v>
      </c>
      <c r="H275" s="25">
        <f>' первое чтение вед стр-ра'!I276</f>
        <v>4407.2</v>
      </c>
    </row>
    <row r="276" spans="1:8" s="71" customFormat="1" ht="25.5" customHeight="1" x14ac:dyDescent="0.2">
      <c r="A276" s="79" t="s">
        <v>74</v>
      </c>
      <c r="B276" s="74" t="s">
        <v>18</v>
      </c>
      <c r="C276" s="74" t="s">
        <v>25</v>
      </c>
      <c r="D276" s="74" t="s">
        <v>210</v>
      </c>
      <c r="E276" s="75" t="s">
        <v>66</v>
      </c>
      <c r="F276" s="25">
        <f>' первое чтение вед стр-ра'!G277</f>
        <v>40</v>
      </c>
      <c r="G276" s="25">
        <f>' первое чтение вед стр-ра'!H277</f>
        <v>0</v>
      </c>
      <c r="H276" s="25">
        <f>' первое чтение вед стр-ра'!I277</f>
        <v>0</v>
      </c>
    </row>
    <row r="277" spans="1:8" s="71" customFormat="1" ht="25.5" customHeight="1" x14ac:dyDescent="0.2">
      <c r="A277" s="67" t="s">
        <v>285</v>
      </c>
      <c r="B277" s="69" t="s">
        <v>18</v>
      </c>
      <c r="C277" s="69" t="s">
        <v>25</v>
      </c>
      <c r="D277" s="69" t="s">
        <v>211</v>
      </c>
      <c r="E277" s="69"/>
      <c r="F277" s="70">
        <f>F278</f>
        <v>22764.400000000001</v>
      </c>
      <c r="G277" s="70">
        <f>G278</f>
        <v>21478.7</v>
      </c>
      <c r="H277" s="70">
        <f>H278</f>
        <v>21108.5</v>
      </c>
    </row>
    <row r="278" spans="1:8" s="21" customFormat="1" ht="25.5" customHeight="1" x14ac:dyDescent="0.2">
      <c r="A278" s="28" t="s">
        <v>119</v>
      </c>
      <c r="B278" s="24" t="s">
        <v>18</v>
      </c>
      <c r="C278" s="24" t="s">
        <v>25</v>
      </c>
      <c r="D278" s="24" t="s">
        <v>211</v>
      </c>
      <c r="E278" s="24" t="s">
        <v>63</v>
      </c>
      <c r="F278" s="25">
        <f>' первое чтение вед стр-ра'!G279</f>
        <v>22764.400000000001</v>
      </c>
      <c r="G278" s="25">
        <f>' первое чтение вед стр-ра'!H279</f>
        <v>21478.7</v>
      </c>
      <c r="H278" s="25">
        <f>' первое чтение вед стр-ра'!I279</f>
        <v>21108.5</v>
      </c>
    </row>
    <row r="279" spans="1:8" s="71" customFormat="1" ht="25.5" customHeight="1" x14ac:dyDescent="0.2">
      <c r="A279" s="67" t="s">
        <v>285</v>
      </c>
      <c r="B279" s="69" t="s">
        <v>18</v>
      </c>
      <c r="C279" s="69" t="s">
        <v>25</v>
      </c>
      <c r="D279" s="69" t="s">
        <v>212</v>
      </c>
      <c r="E279" s="69"/>
      <c r="F279" s="70">
        <f>F280+F281+F282+F283</f>
        <v>46355.700000000004</v>
      </c>
      <c r="G279" s="70">
        <f>G280+G281+G282+G283</f>
        <v>42601.9</v>
      </c>
      <c r="H279" s="70">
        <f>H280+H281+H282+H283</f>
        <v>41419.5</v>
      </c>
    </row>
    <row r="280" spans="1:8" s="21" customFormat="1" ht="51" customHeight="1" x14ac:dyDescent="0.2">
      <c r="A280" s="30" t="s">
        <v>64</v>
      </c>
      <c r="B280" s="24" t="s">
        <v>18</v>
      </c>
      <c r="C280" s="24" t="s">
        <v>25</v>
      </c>
      <c r="D280" s="24" t="s">
        <v>212</v>
      </c>
      <c r="E280" s="27" t="s">
        <v>65</v>
      </c>
      <c r="F280" s="25">
        <f>' первое чтение вед стр-ра'!G281</f>
        <v>22345.200000000001</v>
      </c>
      <c r="G280" s="25">
        <f>' первое чтение вед стр-ра'!H281</f>
        <v>22342.1</v>
      </c>
      <c r="H280" s="25">
        <f>' первое чтение вед стр-ра'!I281</f>
        <v>22342.1</v>
      </c>
    </row>
    <row r="281" spans="1:8" s="71" customFormat="1" ht="25.5" customHeight="1" x14ac:dyDescent="0.2">
      <c r="A281" s="79" t="s">
        <v>74</v>
      </c>
      <c r="B281" s="74" t="s">
        <v>18</v>
      </c>
      <c r="C281" s="74" t="s">
        <v>25</v>
      </c>
      <c r="D281" s="74" t="s">
        <v>212</v>
      </c>
      <c r="E281" s="75" t="s">
        <v>66</v>
      </c>
      <c r="F281" s="25">
        <f>' первое чтение вед стр-ра'!G282</f>
        <v>4455.2</v>
      </c>
      <c r="G281" s="25">
        <f>' первое чтение вед стр-ра'!H282</f>
        <v>2052.9</v>
      </c>
      <c r="H281" s="25">
        <f>' первое чтение вед стр-ра'!I282</f>
        <v>1199.5999999999999</v>
      </c>
    </row>
    <row r="282" spans="1:8" s="71" customFormat="1" ht="25.5" customHeight="1" x14ac:dyDescent="0.2">
      <c r="A282" s="79" t="s">
        <v>119</v>
      </c>
      <c r="B282" s="74" t="s">
        <v>18</v>
      </c>
      <c r="C282" s="74" t="s">
        <v>25</v>
      </c>
      <c r="D282" s="74" t="s">
        <v>212</v>
      </c>
      <c r="E282" s="74" t="s">
        <v>63</v>
      </c>
      <c r="F282" s="25">
        <f>' первое чтение вед стр-ра'!G283</f>
        <v>19500.5</v>
      </c>
      <c r="G282" s="25">
        <f>' первое чтение вед стр-ра'!H283</f>
        <v>18206.900000000001</v>
      </c>
      <c r="H282" s="25">
        <f>' первое чтение вед стр-ра'!I283</f>
        <v>17877.8</v>
      </c>
    </row>
    <row r="283" spans="1:8" s="71" customFormat="1" ht="12.75" customHeight="1" x14ac:dyDescent="0.2">
      <c r="A283" s="79" t="s">
        <v>70</v>
      </c>
      <c r="B283" s="74" t="s">
        <v>18</v>
      </c>
      <c r="C283" s="74" t="s">
        <v>25</v>
      </c>
      <c r="D283" s="74" t="s">
        <v>212</v>
      </c>
      <c r="E283" s="74" t="s">
        <v>71</v>
      </c>
      <c r="F283" s="25">
        <f>' первое чтение вед стр-ра'!G284</f>
        <v>54.8</v>
      </c>
      <c r="G283" s="25">
        <f>' первое чтение вед стр-ра'!H284</f>
        <v>0</v>
      </c>
      <c r="H283" s="25">
        <f>' первое чтение вед стр-ра'!I284</f>
        <v>0</v>
      </c>
    </row>
    <row r="284" spans="1:8" s="21" customFormat="1" ht="15.75" customHeight="1" x14ac:dyDescent="0.25">
      <c r="A284" s="121" t="s">
        <v>532</v>
      </c>
      <c r="B284" s="120" t="s">
        <v>41</v>
      </c>
      <c r="C284" s="120" t="s">
        <v>352</v>
      </c>
      <c r="D284" s="120"/>
      <c r="E284" s="120"/>
      <c r="F284" s="175">
        <f>F285+F300</f>
        <v>113658.2</v>
      </c>
      <c r="G284" s="175">
        <f t="shared" ref="G284:H284" si="63">G285+G300</f>
        <v>101652.7</v>
      </c>
      <c r="H284" s="175">
        <f t="shared" si="63"/>
        <v>99644.5</v>
      </c>
    </row>
    <row r="285" spans="1:8" s="66" customFormat="1" ht="12.75" customHeight="1" x14ac:dyDescent="0.2">
      <c r="A285" s="62" t="s">
        <v>42</v>
      </c>
      <c r="B285" s="64" t="s">
        <v>41</v>
      </c>
      <c r="C285" s="64" t="s">
        <v>11</v>
      </c>
      <c r="D285" s="64"/>
      <c r="E285" s="64"/>
      <c r="F285" s="65">
        <f>F292+F295+F297+F288+F290+F286</f>
        <v>92153</v>
      </c>
      <c r="G285" s="65">
        <f t="shared" ref="G285:H285" si="64">G292+G295+G297+G288+G290+G286</f>
        <v>80676.399999999994</v>
      </c>
      <c r="H285" s="65">
        <f t="shared" si="64"/>
        <v>78668.2</v>
      </c>
    </row>
    <row r="286" spans="1:8" s="12" customFormat="1" ht="25.5" customHeight="1" x14ac:dyDescent="0.2">
      <c r="A286" s="17" t="s">
        <v>135</v>
      </c>
      <c r="B286" s="19" t="s">
        <v>41</v>
      </c>
      <c r="C286" s="19" t="s">
        <v>11</v>
      </c>
      <c r="D286" s="19" t="s">
        <v>134</v>
      </c>
      <c r="E286" s="5"/>
      <c r="F286" s="6">
        <f>F287</f>
        <v>2422.1999999999998</v>
      </c>
      <c r="G286" s="6">
        <f>G287</f>
        <v>520.20000000000005</v>
      </c>
      <c r="H286" s="6">
        <f>H287</f>
        <v>520.20000000000005</v>
      </c>
    </row>
    <row r="287" spans="1:8" s="26" customFormat="1" ht="25.5" customHeight="1" x14ac:dyDescent="0.2">
      <c r="A287" s="28" t="s">
        <v>119</v>
      </c>
      <c r="B287" s="24" t="s">
        <v>41</v>
      </c>
      <c r="C287" s="24" t="s">
        <v>11</v>
      </c>
      <c r="D287" s="24" t="s">
        <v>134</v>
      </c>
      <c r="E287" s="24" t="s">
        <v>63</v>
      </c>
      <c r="F287" s="25">
        <f>' первое чтение вед стр-ра'!G353</f>
        <v>2422.1999999999998</v>
      </c>
      <c r="G287" s="25">
        <f>' первое чтение вед стр-ра'!H353</f>
        <v>520.20000000000005</v>
      </c>
      <c r="H287" s="25">
        <f>' первое чтение вед стр-ра'!I353</f>
        <v>520.20000000000005</v>
      </c>
    </row>
    <row r="288" spans="1:8" s="71" customFormat="1" ht="12.75" customHeight="1" x14ac:dyDescent="0.2">
      <c r="A288" s="67" t="s">
        <v>144</v>
      </c>
      <c r="B288" s="69" t="s">
        <v>41</v>
      </c>
      <c r="C288" s="69" t="s">
        <v>11</v>
      </c>
      <c r="D288" s="74" t="s">
        <v>143</v>
      </c>
      <c r="E288" s="69"/>
      <c r="F288" s="70">
        <f>F289</f>
        <v>4598</v>
      </c>
      <c r="G288" s="70">
        <f t="shared" ref="G288:H288" si="65">G289</f>
        <v>0</v>
      </c>
      <c r="H288" s="70">
        <f t="shared" si="65"/>
        <v>0</v>
      </c>
    </row>
    <row r="289" spans="1:8" s="76" customFormat="1" ht="25.5" customHeight="1" x14ac:dyDescent="0.2">
      <c r="A289" s="79" t="s">
        <v>74</v>
      </c>
      <c r="B289" s="74" t="s">
        <v>41</v>
      </c>
      <c r="C289" s="74" t="s">
        <v>11</v>
      </c>
      <c r="D289" s="74" t="s">
        <v>143</v>
      </c>
      <c r="E289" s="74" t="s">
        <v>66</v>
      </c>
      <c r="F289" s="54">
        <f>' первое чтение вед стр-ра'!G355</f>
        <v>4598</v>
      </c>
      <c r="G289" s="54">
        <f>' первое чтение вед стр-ра'!H355</f>
        <v>0</v>
      </c>
      <c r="H289" s="54">
        <f>' первое чтение вед стр-ра'!I355</f>
        <v>0</v>
      </c>
    </row>
    <row r="290" spans="1:8" s="21" customFormat="1" ht="38.25" customHeight="1" x14ac:dyDescent="0.2">
      <c r="A290" s="18" t="s">
        <v>303</v>
      </c>
      <c r="B290" s="19" t="s">
        <v>41</v>
      </c>
      <c r="C290" s="19" t="s">
        <v>11</v>
      </c>
      <c r="D290" s="19" t="s">
        <v>304</v>
      </c>
      <c r="E290" s="19"/>
      <c r="F290" s="20">
        <f>F291</f>
        <v>4425</v>
      </c>
      <c r="G290" s="20">
        <f>G291</f>
        <v>4425</v>
      </c>
      <c r="H290" s="20">
        <f>H291</f>
        <v>4425</v>
      </c>
    </row>
    <row r="291" spans="1:8" s="21" customFormat="1" ht="25.5" customHeight="1" x14ac:dyDescent="0.2">
      <c r="A291" s="28" t="s">
        <v>119</v>
      </c>
      <c r="B291" s="24" t="s">
        <v>41</v>
      </c>
      <c r="C291" s="24" t="s">
        <v>11</v>
      </c>
      <c r="D291" s="24" t="s">
        <v>304</v>
      </c>
      <c r="E291" s="24" t="s">
        <v>63</v>
      </c>
      <c r="F291" s="25">
        <f>' первое чтение вед стр-ра'!G357</f>
        <v>4425</v>
      </c>
      <c r="G291" s="25">
        <f>' первое чтение вед стр-ра'!H357</f>
        <v>4425</v>
      </c>
      <c r="H291" s="25">
        <f>' первое чтение вед стр-ра'!I357</f>
        <v>4425</v>
      </c>
    </row>
    <row r="292" spans="1:8" s="21" customFormat="1" ht="12.75" customHeight="1" x14ac:dyDescent="0.2">
      <c r="A292" s="18" t="s">
        <v>220</v>
      </c>
      <c r="B292" s="19" t="s">
        <v>41</v>
      </c>
      <c r="C292" s="19" t="s">
        <v>11</v>
      </c>
      <c r="D292" s="19" t="s">
        <v>219</v>
      </c>
      <c r="E292" s="19"/>
      <c r="F292" s="20">
        <f>F294+F293</f>
        <v>57297.4</v>
      </c>
      <c r="G292" s="20">
        <f>G294+G293</f>
        <v>53505</v>
      </c>
      <c r="H292" s="20">
        <f>H294+H293</f>
        <v>51942.3</v>
      </c>
    </row>
    <row r="293" spans="1:8" s="26" customFormat="1" ht="12.75" customHeight="1" x14ac:dyDescent="0.2">
      <c r="A293" s="28" t="s">
        <v>67</v>
      </c>
      <c r="B293" s="24" t="s">
        <v>41</v>
      </c>
      <c r="C293" s="24" t="s">
        <v>11</v>
      </c>
      <c r="D293" s="24" t="s">
        <v>219</v>
      </c>
      <c r="E293" s="27" t="s">
        <v>68</v>
      </c>
      <c r="F293" s="25">
        <f>' первое чтение вед стр-ра'!G359</f>
        <v>15</v>
      </c>
      <c r="G293" s="25">
        <f>' первое чтение вед стр-ра'!H359</f>
        <v>0</v>
      </c>
      <c r="H293" s="25">
        <f>' первое чтение вед стр-ра'!I359</f>
        <v>0</v>
      </c>
    </row>
    <row r="294" spans="1:8" s="26" customFormat="1" ht="25.5" customHeight="1" x14ac:dyDescent="0.2">
      <c r="A294" s="28" t="s">
        <v>119</v>
      </c>
      <c r="B294" s="24" t="s">
        <v>41</v>
      </c>
      <c r="C294" s="24" t="s">
        <v>11</v>
      </c>
      <c r="D294" s="24" t="s">
        <v>219</v>
      </c>
      <c r="E294" s="24" t="s">
        <v>63</v>
      </c>
      <c r="F294" s="25">
        <f>' первое чтение вед стр-ра'!G360</f>
        <v>57282.400000000001</v>
      </c>
      <c r="G294" s="25">
        <f>' первое чтение вед стр-ра'!H360</f>
        <v>53505</v>
      </c>
      <c r="H294" s="25">
        <f>' первое чтение вед стр-ра'!I360</f>
        <v>51942.3</v>
      </c>
    </row>
    <row r="295" spans="1:8" s="21" customFormat="1" ht="12.75" customHeight="1" x14ac:dyDescent="0.2">
      <c r="A295" s="18" t="s">
        <v>222</v>
      </c>
      <c r="B295" s="19" t="s">
        <v>41</v>
      </c>
      <c r="C295" s="19" t="s">
        <v>11</v>
      </c>
      <c r="D295" s="19" t="s">
        <v>221</v>
      </c>
      <c r="E295" s="19"/>
      <c r="F295" s="20">
        <f>F296</f>
        <v>4209.6000000000004</v>
      </c>
      <c r="G295" s="20">
        <f>G296</f>
        <v>4059.4</v>
      </c>
      <c r="H295" s="20">
        <f>H296</f>
        <v>3992.5</v>
      </c>
    </row>
    <row r="296" spans="1:8" s="26" customFormat="1" ht="25.5" customHeight="1" x14ac:dyDescent="0.2">
      <c r="A296" s="28" t="s">
        <v>119</v>
      </c>
      <c r="B296" s="24" t="s">
        <v>41</v>
      </c>
      <c r="C296" s="24" t="s">
        <v>11</v>
      </c>
      <c r="D296" s="24" t="s">
        <v>221</v>
      </c>
      <c r="E296" s="24" t="s">
        <v>63</v>
      </c>
      <c r="F296" s="25">
        <f>' первое чтение вед стр-ра'!G362</f>
        <v>4209.6000000000004</v>
      </c>
      <c r="G296" s="25">
        <f>' первое чтение вед стр-ра'!H362</f>
        <v>4059.4</v>
      </c>
      <c r="H296" s="25">
        <f>' первое чтение вед стр-ра'!I362</f>
        <v>3992.5</v>
      </c>
    </row>
    <row r="297" spans="1:8" s="21" customFormat="1" ht="12.75" customHeight="1" x14ac:dyDescent="0.2">
      <c r="A297" s="18" t="s">
        <v>224</v>
      </c>
      <c r="B297" s="19" t="s">
        <v>41</v>
      </c>
      <c r="C297" s="19" t="s">
        <v>11</v>
      </c>
      <c r="D297" s="19" t="s">
        <v>223</v>
      </c>
      <c r="E297" s="19"/>
      <c r="F297" s="20">
        <f>F299+F298</f>
        <v>19200.8</v>
      </c>
      <c r="G297" s="20">
        <f>G299+G298</f>
        <v>18166.8</v>
      </c>
      <c r="H297" s="20">
        <f>H299+H298</f>
        <v>17788.2</v>
      </c>
    </row>
    <row r="298" spans="1:8" s="26" customFormat="1" ht="12.75" customHeight="1" x14ac:dyDescent="0.2">
      <c r="A298" s="28" t="s">
        <v>67</v>
      </c>
      <c r="B298" s="24" t="s">
        <v>41</v>
      </c>
      <c r="C298" s="24" t="s">
        <v>11</v>
      </c>
      <c r="D298" s="24" t="s">
        <v>223</v>
      </c>
      <c r="E298" s="27" t="s">
        <v>68</v>
      </c>
      <c r="F298" s="25">
        <f>' первое чтение вед стр-ра'!G364</f>
        <v>15</v>
      </c>
      <c r="G298" s="25">
        <f>' первое чтение вед стр-ра'!H364</f>
        <v>0</v>
      </c>
      <c r="H298" s="25">
        <f>' первое чтение вед стр-ра'!I364</f>
        <v>0</v>
      </c>
    </row>
    <row r="299" spans="1:8" s="26" customFormat="1" ht="25.5" customHeight="1" x14ac:dyDescent="0.2">
      <c r="A299" s="28" t="s">
        <v>119</v>
      </c>
      <c r="B299" s="24" t="s">
        <v>41</v>
      </c>
      <c r="C299" s="24" t="s">
        <v>11</v>
      </c>
      <c r="D299" s="24" t="s">
        <v>223</v>
      </c>
      <c r="E299" s="24" t="s">
        <v>63</v>
      </c>
      <c r="F299" s="25">
        <f>' первое чтение вед стр-ра'!G365</f>
        <v>19185.8</v>
      </c>
      <c r="G299" s="25">
        <f>' первое чтение вед стр-ра'!H365</f>
        <v>18166.8</v>
      </c>
      <c r="H299" s="25">
        <f>' первое чтение вед стр-ра'!I365</f>
        <v>17788.2</v>
      </c>
    </row>
    <row r="300" spans="1:8" s="66" customFormat="1" ht="16.5" customHeight="1" x14ac:dyDescent="0.2">
      <c r="A300" s="62" t="s">
        <v>24</v>
      </c>
      <c r="B300" s="64" t="s">
        <v>41</v>
      </c>
      <c r="C300" s="64" t="s">
        <v>17</v>
      </c>
      <c r="D300" s="64"/>
      <c r="E300" s="64"/>
      <c r="F300" s="65">
        <f>F301+F305</f>
        <v>21505.200000000001</v>
      </c>
      <c r="G300" s="65">
        <f t="shared" ref="G300:H300" si="66">G301+G305</f>
        <v>20976.3</v>
      </c>
      <c r="H300" s="65">
        <f t="shared" si="66"/>
        <v>20976.3</v>
      </c>
    </row>
    <row r="301" spans="1:8" s="71" customFormat="1" ht="12.75" customHeight="1" x14ac:dyDescent="0.2">
      <c r="A301" s="67" t="s">
        <v>286</v>
      </c>
      <c r="B301" s="69" t="s">
        <v>41</v>
      </c>
      <c r="C301" s="69" t="s">
        <v>17</v>
      </c>
      <c r="D301" s="69" t="s">
        <v>225</v>
      </c>
      <c r="E301" s="69"/>
      <c r="F301" s="70">
        <f>F302+F303+F304</f>
        <v>1290.9000000000001</v>
      </c>
      <c r="G301" s="70">
        <f>G302+G303+G304</f>
        <v>1222.5</v>
      </c>
      <c r="H301" s="70">
        <f>H302+H303+H304</f>
        <v>1222.5</v>
      </c>
    </row>
    <row r="302" spans="1:8" s="76" customFormat="1" ht="51.75" customHeight="1" x14ac:dyDescent="0.2">
      <c r="A302" s="77" t="s">
        <v>64</v>
      </c>
      <c r="B302" s="74" t="s">
        <v>41</v>
      </c>
      <c r="C302" s="74" t="s">
        <v>17</v>
      </c>
      <c r="D302" s="74" t="s">
        <v>225</v>
      </c>
      <c r="E302" s="75" t="s">
        <v>65</v>
      </c>
      <c r="F302" s="54">
        <f>' первое чтение вед стр-ра'!G368</f>
        <v>1188.8</v>
      </c>
      <c r="G302" s="54">
        <f>' первое чтение вед стр-ра'!H368</f>
        <v>1186.8</v>
      </c>
      <c r="H302" s="54">
        <f>' первое чтение вед стр-ра'!I368</f>
        <v>1186.8</v>
      </c>
    </row>
    <row r="303" spans="1:8" s="76" customFormat="1" ht="25.5" customHeight="1" x14ac:dyDescent="0.2">
      <c r="A303" s="79" t="s">
        <v>74</v>
      </c>
      <c r="B303" s="74" t="s">
        <v>41</v>
      </c>
      <c r="C303" s="74" t="s">
        <v>17</v>
      </c>
      <c r="D303" s="74" t="s">
        <v>225</v>
      </c>
      <c r="E303" s="75" t="s">
        <v>66</v>
      </c>
      <c r="F303" s="54">
        <f>' первое чтение вед стр-ра'!G369</f>
        <v>96.9</v>
      </c>
      <c r="G303" s="54">
        <f>' первое чтение вед стр-ра'!H369</f>
        <v>35.700000000000003</v>
      </c>
      <c r="H303" s="54">
        <f>' первое чтение вед стр-ра'!I369</f>
        <v>35.700000000000003</v>
      </c>
    </row>
    <row r="304" spans="1:8" s="26" customFormat="1" ht="12.75" customHeight="1" x14ac:dyDescent="0.2">
      <c r="A304" s="28" t="s">
        <v>70</v>
      </c>
      <c r="B304" s="24" t="s">
        <v>41</v>
      </c>
      <c r="C304" s="24" t="s">
        <v>17</v>
      </c>
      <c r="D304" s="24" t="s">
        <v>225</v>
      </c>
      <c r="E304" s="24" t="s">
        <v>71</v>
      </c>
      <c r="F304" s="54">
        <f>' первое чтение вед стр-ра'!G370</f>
        <v>5.2</v>
      </c>
      <c r="G304" s="54">
        <f>' первое чтение вед стр-ра'!H370</f>
        <v>0</v>
      </c>
      <c r="H304" s="54">
        <f>' первое чтение вед стр-ра'!I370</f>
        <v>0</v>
      </c>
    </row>
    <row r="305" spans="1:8" s="71" customFormat="1" ht="12.75" customHeight="1" x14ac:dyDescent="0.2">
      <c r="A305" s="67" t="s">
        <v>286</v>
      </c>
      <c r="B305" s="69" t="s">
        <v>41</v>
      </c>
      <c r="C305" s="69" t="s">
        <v>17</v>
      </c>
      <c r="D305" s="69" t="s">
        <v>332</v>
      </c>
      <c r="E305" s="69"/>
      <c r="F305" s="70">
        <f>F306+F307</f>
        <v>20214.3</v>
      </c>
      <c r="G305" s="70">
        <f t="shared" ref="G305:H305" si="67">G306+G307</f>
        <v>19753.8</v>
      </c>
      <c r="H305" s="70">
        <f t="shared" si="67"/>
        <v>19753.8</v>
      </c>
    </row>
    <row r="306" spans="1:8" s="76" customFormat="1" ht="52.5" customHeight="1" x14ac:dyDescent="0.2">
      <c r="A306" s="77" t="s">
        <v>64</v>
      </c>
      <c r="B306" s="74" t="s">
        <v>41</v>
      </c>
      <c r="C306" s="74" t="s">
        <v>17</v>
      </c>
      <c r="D306" s="74" t="s">
        <v>332</v>
      </c>
      <c r="E306" s="75" t="s">
        <v>65</v>
      </c>
      <c r="F306" s="54">
        <f>' первое чтение вед стр-ра'!G372</f>
        <v>19694.7</v>
      </c>
      <c r="G306" s="54">
        <f>' первое чтение вед стр-ра'!H372</f>
        <v>19692.7</v>
      </c>
      <c r="H306" s="54">
        <f>' первое чтение вед стр-ра'!I372</f>
        <v>19692.7</v>
      </c>
    </row>
    <row r="307" spans="1:8" s="76" customFormat="1" ht="25.5" customHeight="1" x14ac:dyDescent="0.2">
      <c r="A307" s="79" t="s">
        <v>74</v>
      </c>
      <c r="B307" s="74" t="s">
        <v>41</v>
      </c>
      <c r="C307" s="74" t="s">
        <v>17</v>
      </c>
      <c r="D307" s="74" t="s">
        <v>332</v>
      </c>
      <c r="E307" s="75" t="s">
        <v>66</v>
      </c>
      <c r="F307" s="54">
        <f>' первое чтение вед стр-ра'!G373</f>
        <v>519.6</v>
      </c>
      <c r="G307" s="54">
        <f>' первое чтение вед стр-ра'!H373</f>
        <v>61.1</v>
      </c>
      <c r="H307" s="54">
        <f>' первое чтение вед стр-ра'!I373</f>
        <v>61.1</v>
      </c>
    </row>
    <row r="308" spans="1:8" s="21" customFormat="1" ht="15.75" customHeight="1" x14ac:dyDescent="0.25">
      <c r="A308" s="121" t="s">
        <v>50</v>
      </c>
      <c r="B308" s="120" t="s">
        <v>49</v>
      </c>
      <c r="C308" s="120" t="s">
        <v>352</v>
      </c>
      <c r="D308" s="120"/>
      <c r="E308" s="120"/>
      <c r="F308" s="175">
        <f>F309+F313+F325+F366+F394</f>
        <v>524028.3</v>
      </c>
      <c r="G308" s="175">
        <f t="shared" ref="G308:H308" si="68">G309+G313+G325+G366+G394</f>
        <v>514433.60000000003</v>
      </c>
      <c r="H308" s="175">
        <f t="shared" si="68"/>
        <v>520781.5</v>
      </c>
    </row>
    <row r="309" spans="1:8" s="71" customFormat="1" ht="12.75" customHeight="1" x14ac:dyDescent="0.2">
      <c r="A309" s="62" t="s">
        <v>51</v>
      </c>
      <c r="B309" s="64" t="s">
        <v>49</v>
      </c>
      <c r="C309" s="64" t="s">
        <v>11</v>
      </c>
      <c r="D309" s="64"/>
      <c r="E309" s="64"/>
      <c r="F309" s="65">
        <f>F310</f>
        <v>9482</v>
      </c>
      <c r="G309" s="65">
        <f>G310</f>
        <v>9482</v>
      </c>
      <c r="H309" s="65">
        <f>H310</f>
        <v>9482</v>
      </c>
    </row>
    <row r="310" spans="1:8" s="71" customFormat="1" ht="76.5" customHeight="1" x14ac:dyDescent="0.2">
      <c r="A310" s="67" t="s">
        <v>227</v>
      </c>
      <c r="B310" s="69" t="s">
        <v>49</v>
      </c>
      <c r="C310" s="69" t="s">
        <v>11</v>
      </c>
      <c r="D310" s="69" t="s">
        <v>228</v>
      </c>
      <c r="E310" s="69"/>
      <c r="F310" s="70">
        <f>F312+F311</f>
        <v>9482</v>
      </c>
      <c r="G310" s="70">
        <f>G312+G311</f>
        <v>9482</v>
      </c>
      <c r="H310" s="70">
        <f>H312+H311</f>
        <v>9482</v>
      </c>
    </row>
    <row r="311" spans="1:8" s="71" customFormat="1" ht="25.5" customHeight="1" x14ac:dyDescent="0.2">
      <c r="A311" s="79" t="s">
        <v>74</v>
      </c>
      <c r="B311" s="74" t="s">
        <v>49</v>
      </c>
      <c r="C311" s="74" t="s">
        <v>11</v>
      </c>
      <c r="D311" s="74" t="s">
        <v>228</v>
      </c>
      <c r="E311" s="75" t="s">
        <v>66</v>
      </c>
      <c r="F311" s="54">
        <f>' первое чтение вед стр-ра'!G389</f>
        <v>47.2</v>
      </c>
      <c r="G311" s="54">
        <f>' первое чтение вед стр-ра'!H389</f>
        <v>47.2</v>
      </c>
      <c r="H311" s="54">
        <f>' первое чтение вед стр-ра'!I389</f>
        <v>47.2</v>
      </c>
    </row>
    <row r="312" spans="1:8" s="71" customFormat="1" ht="12.75" customHeight="1" x14ac:dyDescent="0.2">
      <c r="A312" s="79" t="s">
        <v>67</v>
      </c>
      <c r="B312" s="74" t="s">
        <v>49</v>
      </c>
      <c r="C312" s="74" t="s">
        <v>11</v>
      </c>
      <c r="D312" s="74" t="s">
        <v>228</v>
      </c>
      <c r="E312" s="74" t="s">
        <v>68</v>
      </c>
      <c r="F312" s="54">
        <f>' первое чтение вед стр-ра'!G390</f>
        <v>9434.7999999999993</v>
      </c>
      <c r="G312" s="54">
        <f>' первое чтение вед стр-ра'!H390</f>
        <v>9434.7999999999993</v>
      </c>
      <c r="H312" s="54">
        <f>' первое чтение вед стр-ра'!I390</f>
        <v>9434.7999999999993</v>
      </c>
    </row>
    <row r="313" spans="1:8" s="71" customFormat="1" ht="12.75" customHeight="1" x14ac:dyDescent="0.2">
      <c r="A313" s="62" t="s">
        <v>52</v>
      </c>
      <c r="B313" s="64" t="s">
        <v>49</v>
      </c>
      <c r="C313" s="64" t="s">
        <v>13</v>
      </c>
      <c r="D313" s="64"/>
      <c r="E313" s="64"/>
      <c r="F313" s="65">
        <f>F314+F316+F323+F320</f>
        <v>180781.7</v>
      </c>
      <c r="G313" s="65">
        <f t="shared" ref="G313:H313" si="69">G314+G316+G323+G320</f>
        <v>180737</v>
      </c>
      <c r="H313" s="65">
        <f t="shared" si="69"/>
        <v>180737</v>
      </c>
    </row>
    <row r="314" spans="1:8" s="71" customFormat="1" ht="51" customHeight="1" x14ac:dyDescent="0.2">
      <c r="A314" s="67" t="s">
        <v>229</v>
      </c>
      <c r="B314" s="69" t="s">
        <v>49</v>
      </c>
      <c r="C314" s="69" t="s">
        <v>13</v>
      </c>
      <c r="D314" s="69" t="s">
        <v>92</v>
      </c>
      <c r="E314" s="69"/>
      <c r="F314" s="70">
        <f>F315</f>
        <v>130196.4</v>
      </c>
      <c r="G314" s="70">
        <f>G315</f>
        <v>130196.4</v>
      </c>
      <c r="H314" s="70">
        <f>H315</f>
        <v>130196.4</v>
      </c>
    </row>
    <row r="315" spans="1:8" s="71" customFormat="1" ht="25.5" customHeight="1" x14ac:dyDescent="0.2">
      <c r="A315" s="79" t="s">
        <v>119</v>
      </c>
      <c r="B315" s="74" t="s">
        <v>49</v>
      </c>
      <c r="C315" s="74" t="s">
        <v>13</v>
      </c>
      <c r="D315" s="74" t="s">
        <v>93</v>
      </c>
      <c r="E315" s="74" t="s">
        <v>63</v>
      </c>
      <c r="F315" s="54">
        <f>' первое чтение вед стр-ра'!G393</f>
        <v>130196.4</v>
      </c>
      <c r="G315" s="54">
        <f>' первое чтение вед стр-ра'!H393</f>
        <v>130196.4</v>
      </c>
      <c r="H315" s="54">
        <f>' первое чтение вед стр-ра'!I393</f>
        <v>130196.4</v>
      </c>
    </row>
    <row r="316" spans="1:8" s="71" customFormat="1" ht="63.75" customHeight="1" x14ac:dyDescent="0.2">
      <c r="A316" s="67" t="s">
        <v>230</v>
      </c>
      <c r="B316" s="69" t="s">
        <v>49</v>
      </c>
      <c r="C316" s="69" t="s">
        <v>13</v>
      </c>
      <c r="D316" s="69" t="s">
        <v>95</v>
      </c>
      <c r="E316" s="69"/>
      <c r="F316" s="70">
        <f>F317+F318+F319</f>
        <v>50530.600000000006</v>
      </c>
      <c r="G316" s="70">
        <f t="shared" ref="G316:H316" si="70">G317+G318+G319</f>
        <v>50530.600000000006</v>
      </c>
      <c r="H316" s="70">
        <f t="shared" si="70"/>
        <v>50530.600000000006</v>
      </c>
    </row>
    <row r="317" spans="1:8" s="71" customFormat="1" ht="51" customHeight="1" x14ac:dyDescent="0.2">
      <c r="A317" s="72" t="s">
        <v>64</v>
      </c>
      <c r="B317" s="74" t="s">
        <v>49</v>
      </c>
      <c r="C317" s="74" t="s">
        <v>13</v>
      </c>
      <c r="D317" s="74" t="s">
        <v>95</v>
      </c>
      <c r="E317" s="75" t="s">
        <v>65</v>
      </c>
      <c r="F317" s="54">
        <f>' первое чтение вед стр-ра'!G395</f>
        <v>44230.3</v>
      </c>
      <c r="G317" s="54">
        <f>' первое чтение вед стр-ра'!H395</f>
        <v>44230.3</v>
      </c>
      <c r="H317" s="54">
        <f>' первое чтение вед стр-ра'!I395</f>
        <v>44230.3</v>
      </c>
    </row>
    <row r="318" spans="1:8" s="71" customFormat="1" ht="25.5" customHeight="1" x14ac:dyDescent="0.2">
      <c r="A318" s="79" t="s">
        <v>74</v>
      </c>
      <c r="B318" s="74" t="s">
        <v>49</v>
      </c>
      <c r="C318" s="74" t="s">
        <v>13</v>
      </c>
      <c r="D318" s="74" t="s">
        <v>95</v>
      </c>
      <c r="E318" s="75" t="s">
        <v>66</v>
      </c>
      <c r="F318" s="54">
        <f>' первое чтение вед стр-ра'!G396</f>
        <v>6005.3</v>
      </c>
      <c r="G318" s="54">
        <f>' первое чтение вед стр-ра'!H396</f>
        <v>6005.3</v>
      </c>
      <c r="H318" s="54">
        <f>' первое чтение вед стр-ра'!I396</f>
        <v>6005.3</v>
      </c>
    </row>
    <row r="319" spans="1:8" s="71" customFormat="1" ht="12.75" customHeight="1" x14ac:dyDescent="0.2">
      <c r="A319" s="79" t="s">
        <v>70</v>
      </c>
      <c r="B319" s="74" t="s">
        <v>49</v>
      </c>
      <c r="C319" s="74" t="s">
        <v>13</v>
      </c>
      <c r="D319" s="74" t="s">
        <v>95</v>
      </c>
      <c r="E319" s="74" t="s">
        <v>71</v>
      </c>
      <c r="F319" s="54">
        <f>' первое чтение вед стр-ра'!G397</f>
        <v>295</v>
      </c>
      <c r="G319" s="54">
        <f>' первое чтение вед стр-ра'!H397</f>
        <v>295</v>
      </c>
      <c r="H319" s="54">
        <f>' первое чтение вед стр-ра'!I397</f>
        <v>295</v>
      </c>
    </row>
    <row r="320" spans="1:8" s="71" customFormat="1" ht="25.5" customHeight="1" x14ac:dyDescent="0.2">
      <c r="A320" s="18" t="s">
        <v>231</v>
      </c>
      <c r="B320" s="19" t="s">
        <v>49</v>
      </c>
      <c r="C320" s="19" t="s">
        <v>13</v>
      </c>
      <c r="D320" s="19" t="s">
        <v>277</v>
      </c>
      <c r="E320" s="19"/>
      <c r="F320" s="25">
        <f>F322+F321</f>
        <v>44.7</v>
      </c>
      <c r="G320" s="25">
        <f t="shared" ref="G320:H320" si="71">G322+G321</f>
        <v>0</v>
      </c>
      <c r="H320" s="25">
        <f t="shared" si="71"/>
        <v>0</v>
      </c>
    </row>
    <row r="321" spans="1:8" s="71" customFormat="1" ht="51" customHeight="1" x14ac:dyDescent="0.2">
      <c r="A321" s="72" t="s">
        <v>64</v>
      </c>
      <c r="B321" s="24" t="s">
        <v>49</v>
      </c>
      <c r="C321" s="24" t="s">
        <v>13</v>
      </c>
      <c r="D321" s="24" t="s">
        <v>277</v>
      </c>
      <c r="E321" s="19" t="s">
        <v>65</v>
      </c>
      <c r="F321" s="25">
        <f>' первое чтение вед стр-ра'!G399</f>
        <v>20.399999999999999</v>
      </c>
      <c r="G321" s="25">
        <f>' первое чтение вед стр-ра'!H399</f>
        <v>0</v>
      </c>
      <c r="H321" s="25">
        <f>' первое чтение вед стр-ра'!I399</f>
        <v>0</v>
      </c>
    </row>
    <row r="322" spans="1:8" s="71" customFormat="1" ht="25.5" customHeight="1" x14ac:dyDescent="0.2">
      <c r="A322" s="28" t="s">
        <v>74</v>
      </c>
      <c r="B322" s="24" t="s">
        <v>49</v>
      </c>
      <c r="C322" s="24" t="s">
        <v>13</v>
      </c>
      <c r="D322" s="24" t="s">
        <v>277</v>
      </c>
      <c r="E322" s="27" t="s">
        <v>66</v>
      </c>
      <c r="F322" s="25">
        <f>' первое чтение вед стр-ра'!G400</f>
        <v>24.3</v>
      </c>
      <c r="G322" s="25">
        <f>' первое чтение вед стр-ра'!H400</f>
        <v>0</v>
      </c>
      <c r="H322" s="25">
        <f>' первое чтение вед стр-ра'!I400</f>
        <v>0</v>
      </c>
    </row>
    <row r="323" spans="1:8" s="21" customFormat="1" ht="75" customHeight="1" x14ac:dyDescent="0.2">
      <c r="A323" s="18" t="s">
        <v>232</v>
      </c>
      <c r="B323" s="19" t="s">
        <v>49</v>
      </c>
      <c r="C323" s="19" t="s">
        <v>13</v>
      </c>
      <c r="D323" s="19" t="s">
        <v>99</v>
      </c>
      <c r="E323" s="19"/>
      <c r="F323" s="20">
        <f>F324</f>
        <v>10</v>
      </c>
      <c r="G323" s="20">
        <f t="shared" ref="G323:H323" si="72">G324</f>
        <v>10</v>
      </c>
      <c r="H323" s="20">
        <f t="shared" si="72"/>
        <v>10</v>
      </c>
    </row>
    <row r="324" spans="1:8" s="76" customFormat="1" ht="51.75" customHeight="1" x14ac:dyDescent="0.2">
      <c r="A324" s="72" t="s">
        <v>64</v>
      </c>
      <c r="B324" s="74" t="s">
        <v>49</v>
      </c>
      <c r="C324" s="74" t="s">
        <v>13</v>
      </c>
      <c r="D324" s="74" t="s">
        <v>99</v>
      </c>
      <c r="E324" s="74" t="s">
        <v>65</v>
      </c>
      <c r="F324" s="54">
        <f>' первое чтение вед стр-ра'!G402</f>
        <v>10</v>
      </c>
      <c r="G324" s="54">
        <f>' первое чтение вед стр-ра'!H402</f>
        <v>10</v>
      </c>
      <c r="H324" s="54">
        <f>' первое чтение вед стр-ра'!I402</f>
        <v>10</v>
      </c>
    </row>
    <row r="325" spans="1:8" s="71" customFormat="1" ht="12.75" customHeight="1" x14ac:dyDescent="0.2">
      <c r="A325" s="62" t="s">
        <v>53</v>
      </c>
      <c r="B325" s="64" t="s">
        <v>49</v>
      </c>
      <c r="C325" s="64" t="s">
        <v>15</v>
      </c>
      <c r="D325" s="64"/>
      <c r="E325" s="64"/>
      <c r="F325" s="65">
        <f>F331+F339+F344+F342+F349+F351+F353+F355+F326+F357+F359+F362+F346+F329+F335+F333+F337</f>
        <v>45075.4</v>
      </c>
      <c r="G325" s="65">
        <f t="shared" ref="G325:H325" si="73">G331+G339+G344+G342+G349+G351+G353+G355+G326+G357+G359+G362+G346+G329+G335+G333+G337</f>
        <v>39802.199999999997</v>
      </c>
      <c r="H325" s="65">
        <f t="shared" si="73"/>
        <v>41766.100000000006</v>
      </c>
    </row>
    <row r="326" spans="1:8" s="21" customFormat="1" ht="51" customHeight="1" x14ac:dyDescent="0.2">
      <c r="A326" s="18" t="s">
        <v>216</v>
      </c>
      <c r="B326" s="19" t="s">
        <v>49</v>
      </c>
      <c r="C326" s="19" t="s">
        <v>15</v>
      </c>
      <c r="D326" s="19" t="s">
        <v>346</v>
      </c>
      <c r="E326" s="19"/>
      <c r="F326" s="20">
        <f>F327+F328</f>
        <v>6903</v>
      </c>
      <c r="G326" s="20">
        <f t="shared" ref="G326:H326" si="74">G327+G328</f>
        <v>6903</v>
      </c>
      <c r="H326" s="20">
        <f t="shared" si="74"/>
        <v>6903</v>
      </c>
    </row>
    <row r="327" spans="1:8" s="21" customFormat="1" ht="12.75" customHeight="1" x14ac:dyDescent="0.2">
      <c r="A327" s="28" t="s">
        <v>67</v>
      </c>
      <c r="B327" s="24" t="s">
        <v>49</v>
      </c>
      <c r="C327" s="24" t="s">
        <v>15</v>
      </c>
      <c r="D327" s="24" t="s">
        <v>346</v>
      </c>
      <c r="E327" s="24" t="s">
        <v>68</v>
      </c>
      <c r="F327" s="25">
        <f>' первое чтение вед стр-ра'!G405</f>
        <v>42.5</v>
      </c>
      <c r="G327" s="25">
        <f>' первое чтение вед стр-ра'!H405</f>
        <v>42.5</v>
      </c>
      <c r="H327" s="25">
        <f>' первое чтение вед стр-ра'!I405</f>
        <v>42.5</v>
      </c>
    </row>
    <row r="328" spans="1:8" s="21" customFormat="1" ht="25.5" customHeight="1" x14ac:dyDescent="0.2">
      <c r="A328" s="28" t="s">
        <v>119</v>
      </c>
      <c r="B328" s="24" t="s">
        <v>49</v>
      </c>
      <c r="C328" s="24" t="s">
        <v>15</v>
      </c>
      <c r="D328" s="24" t="s">
        <v>346</v>
      </c>
      <c r="E328" s="24" t="s">
        <v>63</v>
      </c>
      <c r="F328" s="25">
        <f>' первое чтение вед стр-ра'!G300</f>
        <v>6860.5</v>
      </c>
      <c r="G328" s="25">
        <f>' первое чтение вед стр-ра'!H300</f>
        <v>6860.5</v>
      </c>
      <c r="H328" s="25">
        <f>' первое чтение вед стр-ра'!I300</f>
        <v>6860.5</v>
      </c>
    </row>
    <row r="329" spans="1:8" s="21" customFormat="1" ht="51" customHeight="1" x14ac:dyDescent="0.2">
      <c r="A329" s="18" t="s">
        <v>306</v>
      </c>
      <c r="B329" s="19" t="s">
        <v>49</v>
      </c>
      <c r="C329" s="19" t="s">
        <v>15</v>
      </c>
      <c r="D329" s="19" t="s">
        <v>305</v>
      </c>
      <c r="E329" s="19"/>
      <c r="F329" s="20">
        <f>F330</f>
        <v>654.70000000000005</v>
      </c>
      <c r="G329" s="20">
        <f>G330</f>
        <v>0</v>
      </c>
      <c r="H329" s="20">
        <f>H330</f>
        <v>654.70000000000005</v>
      </c>
    </row>
    <row r="330" spans="1:8" s="21" customFormat="1" ht="25.5" customHeight="1" x14ac:dyDescent="0.2">
      <c r="A330" s="28" t="s">
        <v>80</v>
      </c>
      <c r="B330" s="24" t="s">
        <v>49</v>
      </c>
      <c r="C330" s="24" t="s">
        <v>15</v>
      </c>
      <c r="D330" s="24" t="s">
        <v>305</v>
      </c>
      <c r="E330" s="24" t="s">
        <v>69</v>
      </c>
      <c r="F330" s="25">
        <f>' первое чтение вед стр-ра'!G92</f>
        <v>654.70000000000005</v>
      </c>
      <c r="G330" s="25">
        <f>' первое чтение вед стр-ра'!H92</f>
        <v>0</v>
      </c>
      <c r="H330" s="25">
        <f>' первое чтение вед стр-ра'!I92</f>
        <v>654.70000000000005</v>
      </c>
    </row>
    <row r="331" spans="1:8" s="21" customFormat="1" ht="63.75" customHeight="1" x14ac:dyDescent="0.2">
      <c r="A331" s="18" t="s">
        <v>482</v>
      </c>
      <c r="B331" s="19" t="s">
        <v>49</v>
      </c>
      <c r="C331" s="19" t="s">
        <v>15</v>
      </c>
      <c r="D331" s="19" t="s">
        <v>86</v>
      </c>
      <c r="E331" s="19"/>
      <c r="F331" s="20">
        <f>F332</f>
        <v>2618.5</v>
      </c>
      <c r="G331" s="20">
        <f t="shared" ref="G331:H331" si="75">G332</f>
        <v>0</v>
      </c>
      <c r="H331" s="20">
        <f t="shared" si="75"/>
        <v>1309.3</v>
      </c>
    </row>
    <row r="332" spans="1:8" s="21" customFormat="1" ht="12.75" customHeight="1" x14ac:dyDescent="0.2">
      <c r="A332" s="28" t="s">
        <v>67</v>
      </c>
      <c r="B332" s="19" t="s">
        <v>49</v>
      </c>
      <c r="C332" s="19" t="s">
        <v>15</v>
      </c>
      <c r="D332" s="19" t="s">
        <v>86</v>
      </c>
      <c r="E332" s="19" t="s">
        <v>68</v>
      </c>
      <c r="F332" s="20">
        <f>' первое чтение вед стр-ра'!G94</f>
        <v>2618.5</v>
      </c>
      <c r="G332" s="20">
        <f>' первое чтение вед стр-ра'!H94</f>
        <v>0</v>
      </c>
      <c r="H332" s="20">
        <f>' первое чтение вед стр-ра'!I94</f>
        <v>1309.3</v>
      </c>
    </row>
    <row r="333" spans="1:8" s="21" customFormat="1" ht="25.5" customHeight="1" x14ac:dyDescent="0.2">
      <c r="A333" s="18" t="s">
        <v>288</v>
      </c>
      <c r="B333" s="19" t="s">
        <v>49</v>
      </c>
      <c r="C333" s="19" t="s">
        <v>15</v>
      </c>
      <c r="D333" s="19" t="s">
        <v>287</v>
      </c>
      <c r="E333" s="19"/>
      <c r="F333" s="20">
        <f>F334</f>
        <v>21142.799999999999</v>
      </c>
      <c r="G333" s="20">
        <f>G334</f>
        <v>21142.799999999999</v>
      </c>
      <c r="H333" s="20">
        <f>H334</f>
        <v>21142.799999999999</v>
      </c>
    </row>
    <row r="334" spans="1:8" s="26" customFormat="1" ht="25.5" customHeight="1" x14ac:dyDescent="0.2">
      <c r="A334" s="28" t="s">
        <v>80</v>
      </c>
      <c r="B334" s="24" t="s">
        <v>49</v>
      </c>
      <c r="C334" s="24" t="s">
        <v>15</v>
      </c>
      <c r="D334" s="24" t="s">
        <v>287</v>
      </c>
      <c r="E334" s="24" t="s">
        <v>69</v>
      </c>
      <c r="F334" s="25">
        <f>' первое чтение вед стр-ра'!G96</f>
        <v>21142.799999999999</v>
      </c>
      <c r="G334" s="25">
        <f>' первое чтение вед стр-ра'!H96</f>
        <v>21142.799999999999</v>
      </c>
      <c r="H334" s="25">
        <f>' первое чтение вед стр-ра'!I96</f>
        <v>21142.799999999999</v>
      </c>
    </row>
    <row r="335" spans="1:8" s="21" customFormat="1" ht="38.25" customHeight="1" x14ac:dyDescent="0.2">
      <c r="A335" s="18" t="s">
        <v>278</v>
      </c>
      <c r="B335" s="19" t="s">
        <v>49</v>
      </c>
      <c r="C335" s="19" t="s">
        <v>15</v>
      </c>
      <c r="D335" s="19" t="s">
        <v>140</v>
      </c>
      <c r="E335" s="19"/>
      <c r="F335" s="20">
        <f>F336</f>
        <v>2000</v>
      </c>
      <c r="G335" s="20">
        <f>G336</f>
        <v>0</v>
      </c>
      <c r="H335" s="20">
        <f>H336</f>
        <v>0</v>
      </c>
    </row>
    <row r="336" spans="1:8" s="26" customFormat="1" ht="25.5" customHeight="1" x14ac:dyDescent="0.2">
      <c r="A336" s="28" t="s">
        <v>80</v>
      </c>
      <c r="B336" s="24" t="s">
        <v>49</v>
      </c>
      <c r="C336" s="24" t="s">
        <v>15</v>
      </c>
      <c r="D336" s="24" t="s">
        <v>140</v>
      </c>
      <c r="E336" s="24" t="s">
        <v>69</v>
      </c>
      <c r="F336" s="25">
        <f>' первое чтение вед стр-ра'!G98</f>
        <v>2000</v>
      </c>
      <c r="G336" s="25">
        <f>' первое чтение вед стр-ра'!H98</f>
        <v>0</v>
      </c>
      <c r="H336" s="25">
        <f>' первое чтение вед стр-ра'!I98</f>
        <v>0</v>
      </c>
    </row>
    <row r="337" spans="1:8" s="71" customFormat="1" ht="12.75" customHeight="1" x14ac:dyDescent="0.2">
      <c r="A337" s="67" t="s">
        <v>312</v>
      </c>
      <c r="B337" s="69" t="s">
        <v>49</v>
      </c>
      <c r="C337" s="69" t="s">
        <v>15</v>
      </c>
      <c r="D337" s="69" t="s">
        <v>311</v>
      </c>
      <c r="E337" s="69"/>
      <c r="F337" s="70">
        <f>F338</f>
        <v>1966.3</v>
      </c>
      <c r="G337" s="70">
        <f>G338</f>
        <v>1966.3</v>
      </c>
      <c r="H337" s="70">
        <f>H338</f>
        <v>1966.3</v>
      </c>
    </row>
    <row r="338" spans="1:8" s="76" customFormat="1" ht="12.75" customHeight="1" x14ac:dyDescent="0.2">
      <c r="A338" s="92" t="s">
        <v>67</v>
      </c>
      <c r="B338" s="74" t="s">
        <v>49</v>
      </c>
      <c r="C338" s="74" t="s">
        <v>15</v>
      </c>
      <c r="D338" s="74" t="s">
        <v>311</v>
      </c>
      <c r="E338" s="93">
        <v>300</v>
      </c>
      <c r="F338" s="54">
        <f>' первое чтение вед стр-ра'!G100</f>
        <v>1966.3</v>
      </c>
      <c r="G338" s="54">
        <f>' первое чтение вед стр-ра'!H100</f>
        <v>1966.3</v>
      </c>
      <c r="H338" s="54">
        <f>' первое чтение вед стр-ра'!I100</f>
        <v>1966.3</v>
      </c>
    </row>
    <row r="339" spans="1:8" s="21" customFormat="1" ht="25.5" customHeight="1" x14ac:dyDescent="0.2">
      <c r="A339" s="18" t="s">
        <v>296</v>
      </c>
      <c r="B339" s="19" t="s">
        <v>49</v>
      </c>
      <c r="C339" s="19" t="s">
        <v>15</v>
      </c>
      <c r="D339" s="19" t="s">
        <v>82</v>
      </c>
      <c r="E339" s="19"/>
      <c r="F339" s="20">
        <f>F340+F341</f>
        <v>1600</v>
      </c>
      <c r="G339" s="20">
        <f t="shared" ref="G339:H339" si="76">G340+G341</f>
        <v>1600</v>
      </c>
      <c r="H339" s="20">
        <f t="shared" si="76"/>
        <v>1600</v>
      </c>
    </row>
    <row r="340" spans="1:8" s="21" customFormat="1" ht="12.75" customHeight="1" x14ac:dyDescent="0.2">
      <c r="A340" s="51" t="s">
        <v>67</v>
      </c>
      <c r="B340" s="24" t="s">
        <v>49</v>
      </c>
      <c r="C340" s="24" t="s">
        <v>15</v>
      </c>
      <c r="D340" s="24" t="s">
        <v>82</v>
      </c>
      <c r="E340" s="24" t="s">
        <v>68</v>
      </c>
      <c r="F340" s="25">
        <f>' первое чтение вед стр-ра'!G288+' первое чтение вед стр-ра'!G377</f>
        <v>258.7</v>
      </c>
      <c r="G340" s="25">
        <f>' первое чтение вед стр-ра'!H288+' первое чтение вед стр-ра'!H377</f>
        <v>258.7</v>
      </c>
      <c r="H340" s="25">
        <f>' первое чтение вед стр-ра'!I288+' первое чтение вед стр-ра'!I377</f>
        <v>258.7</v>
      </c>
    </row>
    <row r="341" spans="1:8" s="21" customFormat="1" ht="25.5" customHeight="1" x14ac:dyDescent="0.2">
      <c r="A341" s="28" t="s">
        <v>119</v>
      </c>
      <c r="B341" s="24" t="s">
        <v>49</v>
      </c>
      <c r="C341" s="24" t="s">
        <v>15</v>
      </c>
      <c r="D341" s="24" t="s">
        <v>82</v>
      </c>
      <c r="E341" s="24" t="s">
        <v>63</v>
      </c>
      <c r="F341" s="25">
        <f>' первое чтение вед стр-ра'!G289</f>
        <v>1341.3</v>
      </c>
      <c r="G341" s="25">
        <f>' первое чтение вед стр-ра'!H289</f>
        <v>1341.3</v>
      </c>
      <c r="H341" s="25">
        <f>' первое чтение вед стр-ра'!I289</f>
        <v>1341.3</v>
      </c>
    </row>
    <row r="342" spans="1:8" s="21" customFormat="1" ht="38.25" customHeight="1" x14ac:dyDescent="0.2">
      <c r="A342" s="18" t="s">
        <v>213</v>
      </c>
      <c r="B342" s="19" t="s">
        <v>49</v>
      </c>
      <c r="C342" s="19" t="s">
        <v>15</v>
      </c>
      <c r="D342" s="19" t="s">
        <v>106</v>
      </c>
      <c r="E342" s="19"/>
      <c r="F342" s="20">
        <f>F343</f>
        <v>207</v>
      </c>
      <c r="G342" s="20">
        <f>G343</f>
        <v>207</v>
      </c>
      <c r="H342" s="20">
        <f>H343</f>
        <v>207</v>
      </c>
    </row>
    <row r="343" spans="1:8" s="21" customFormat="1" ht="12.75" customHeight="1" x14ac:dyDescent="0.2">
      <c r="A343" s="51" t="s">
        <v>67</v>
      </c>
      <c r="B343" s="24" t="s">
        <v>49</v>
      </c>
      <c r="C343" s="24" t="s">
        <v>15</v>
      </c>
      <c r="D343" s="24" t="s">
        <v>106</v>
      </c>
      <c r="E343" s="29">
        <v>300</v>
      </c>
      <c r="F343" s="25">
        <f>' первое чтение вед стр-ра'!G291</f>
        <v>207</v>
      </c>
      <c r="G343" s="25">
        <f>' первое чтение вед стр-ра'!H291</f>
        <v>207</v>
      </c>
      <c r="H343" s="25">
        <f>' первое чтение вед стр-ра'!I291</f>
        <v>207</v>
      </c>
    </row>
    <row r="344" spans="1:8" s="21" customFormat="1" ht="38.25" customHeight="1" x14ac:dyDescent="0.2">
      <c r="A344" s="46" t="s">
        <v>214</v>
      </c>
      <c r="B344" s="19" t="s">
        <v>49</v>
      </c>
      <c r="C344" s="19" t="s">
        <v>15</v>
      </c>
      <c r="D344" s="19" t="s">
        <v>105</v>
      </c>
      <c r="E344" s="19"/>
      <c r="F344" s="20">
        <f>F345</f>
        <v>570</v>
      </c>
      <c r="G344" s="20">
        <f>G345</f>
        <v>570</v>
      </c>
      <c r="H344" s="20">
        <f>H345</f>
        <v>570</v>
      </c>
    </row>
    <row r="345" spans="1:8" s="21" customFormat="1" ht="12.75" customHeight="1" x14ac:dyDescent="0.2">
      <c r="A345" s="51" t="s">
        <v>67</v>
      </c>
      <c r="B345" s="24" t="s">
        <v>49</v>
      </c>
      <c r="C345" s="24" t="s">
        <v>15</v>
      </c>
      <c r="D345" s="24" t="s">
        <v>105</v>
      </c>
      <c r="E345" s="24" t="s">
        <v>68</v>
      </c>
      <c r="F345" s="25">
        <f>' первое чтение вед стр-ра'!G293</f>
        <v>570</v>
      </c>
      <c r="G345" s="25">
        <f>' первое чтение вед стр-ра'!H293</f>
        <v>570</v>
      </c>
      <c r="H345" s="25">
        <f>' первое чтение вед стр-ра'!I293</f>
        <v>570</v>
      </c>
    </row>
    <row r="346" spans="1:8" s="71" customFormat="1" ht="25.5" customHeight="1" x14ac:dyDescent="0.2">
      <c r="A346" s="94" t="s">
        <v>215</v>
      </c>
      <c r="B346" s="69" t="s">
        <v>49</v>
      </c>
      <c r="C346" s="69" t="s">
        <v>15</v>
      </c>
      <c r="D346" s="69" t="s">
        <v>112</v>
      </c>
      <c r="E346" s="69"/>
      <c r="F346" s="70">
        <f>F348+F347</f>
        <v>2005</v>
      </c>
      <c r="G346" s="70">
        <f>G348+G347</f>
        <v>2005</v>
      </c>
      <c r="H346" s="70">
        <f>H348+H347</f>
        <v>2005</v>
      </c>
    </row>
    <row r="347" spans="1:8" s="71" customFormat="1" ht="25.5" customHeight="1" x14ac:dyDescent="0.2">
      <c r="A347" s="79" t="s">
        <v>74</v>
      </c>
      <c r="B347" s="74" t="s">
        <v>49</v>
      </c>
      <c r="C347" s="74" t="s">
        <v>15</v>
      </c>
      <c r="D347" s="74" t="s">
        <v>112</v>
      </c>
      <c r="E347" s="75" t="s">
        <v>66</v>
      </c>
      <c r="F347" s="54">
        <f>' первое чтение вед стр-ра'!G295</f>
        <v>325</v>
      </c>
      <c r="G347" s="54">
        <f>' первое чтение вед стр-ра'!H295</f>
        <v>325</v>
      </c>
      <c r="H347" s="54">
        <f>' первое чтение вед стр-ра'!I295</f>
        <v>325</v>
      </c>
    </row>
    <row r="348" spans="1:8" s="71" customFormat="1" ht="25.5" customHeight="1" x14ac:dyDescent="0.2">
      <c r="A348" s="79" t="s">
        <v>119</v>
      </c>
      <c r="B348" s="74" t="s">
        <v>49</v>
      </c>
      <c r="C348" s="74" t="s">
        <v>15</v>
      </c>
      <c r="D348" s="74" t="s">
        <v>112</v>
      </c>
      <c r="E348" s="74" t="s">
        <v>63</v>
      </c>
      <c r="F348" s="54">
        <f>' первое чтение вед стр-ра'!G296</f>
        <v>1680</v>
      </c>
      <c r="G348" s="54">
        <f>' первое чтение вед стр-ра'!H296</f>
        <v>1680</v>
      </c>
      <c r="H348" s="54">
        <f>' первое чтение вед стр-ра'!I296</f>
        <v>1680</v>
      </c>
    </row>
    <row r="349" spans="1:8" s="21" customFormat="1" ht="63.75" customHeight="1" x14ac:dyDescent="0.2">
      <c r="A349" s="18" t="s">
        <v>533</v>
      </c>
      <c r="B349" s="19" t="s">
        <v>49</v>
      </c>
      <c r="C349" s="19" t="s">
        <v>15</v>
      </c>
      <c r="D349" s="19" t="s">
        <v>107</v>
      </c>
      <c r="E349" s="19"/>
      <c r="F349" s="20">
        <f>F350</f>
        <v>326</v>
      </c>
      <c r="G349" s="20">
        <f>G350</f>
        <v>326</v>
      </c>
      <c r="H349" s="20">
        <f>H350</f>
        <v>325.89999999999998</v>
      </c>
    </row>
    <row r="350" spans="1:8" s="71" customFormat="1" ht="12.75" customHeight="1" x14ac:dyDescent="0.2">
      <c r="A350" s="79" t="s">
        <v>67</v>
      </c>
      <c r="B350" s="74" t="s">
        <v>49</v>
      </c>
      <c r="C350" s="74" t="s">
        <v>15</v>
      </c>
      <c r="D350" s="74" t="s">
        <v>107</v>
      </c>
      <c r="E350" s="74" t="s">
        <v>68</v>
      </c>
      <c r="F350" s="54">
        <f>' первое чтение вед стр-ра'!G298</f>
        <v>326</v>
      </c>
      <c r="G350" s="54">
        <f>' первое чтение вед стр-ра'!H298</f>
        <v>326</v>
      </c>
      <c r="H350" s="54">
        <f>' первое чтение вед стр-ра'!I298</f>
        <v>325.89999999999998</v>
      </c>
    </row>
    <row r="351" spans="1:8" s="21" customFormat="1" ht="63.75" customHeight="1" x14ac:dyDescent="0.2">
      <c r="A351" s="18" t="s">
        <v>150</v>
      </c>
      <c r="B351" s="19" t="s">
        <v>49</v>
      </c>
      <c r="C351" s="19" t="s">
        <v>15</v>
      </c>
      <c r="D351" s="19" t="s">
        <v>88</v>
      </c>
      <c r="E351" s="19"/>
      <c r="F351" s="20">
        <f>F352</f>
        <v>2070</v>
      </c>
      <c r="G351" s="20">
        <f t="shared" ref="G351:H351" si="77">G352</f>
        <v>2070</v>
      </c>
      <c r="H351" s="20">
        <f t="shared" si="77"/>
        <v>2070</v>
      </c>
    </row>
    <row r="352" spans="1:8" s="21" customFormat="1" ht="12.75" customHeight="1" x14ac:dyDescent="0.2">
      <c r="A352" s="28" t="s">
        <v>67</v>
      </c>
      <c r="B352" s="24" t="s">
        <v>49</v>
      </c>
      <c r="C352" s="24" t="s">
        <v>15</v>
      </c>
      <c r="D352" s="24" t="s">
        <v>88</v>
      </c>
      <c r="E352" s="24" t="s">
        <v>68</v>
      </c>
      <c r="F352" s="25">
        <f>' первое чтение вед стр-ра'!G407</f>
        <v>2070</v>
      </c>
      <c r="G352" s="25">
        <f>' первое чтение вед стр-ра'!H407</f>
        <v>2070</v>
      </c>
      <c r="H352" s="25">
        <f>' первое чтение вед стр-ра'!I407</f>
        <v>2070</v>
      </c>
    </row>
    <row r="353" spans="1:8" s="21" customFormat="1" ht="127.5" customHeight="1" x14ac:dyDescent="0.2">
      <c r="A353" s="18" t="s">
        <v>276</v>
      </c>
      <c r="B353" s="19" t="s">
        <v>49</v>
      </c>
      <c r="C353" s="19" t="s">
        <v>15</v>
      </c>
      <c r="D353" s="19" t="s">
        <v>89</v>
      </c>
      <c r="E353" s="19"/>
      <c r="F353" s="20">
        <f>F354</f>
        <v>36</v>
      </c>
      <c r="G353" s="20">
        <f t="shared" ref="G353:H353" si="78">G354</f>
        <v>36</v>
      </c>
      <c r="H353" s="20">
        <f t="shared" si="78"/>
        <v>36</v>
      </c>
    </row>
    <row r="354" spans="1:8" s="71" customFormat="1" ht="12.75" customHeight="1" x14ac:dyDescent="0.2">
      <c r="A354" s="79" t="s">
        <v>67</v>
      </c>
      <c r="B354" s="74" t="s">
        <v>49</v>
      </c>
      <c r="C354" s="74" t="s">
        <v>15</v>
      </c>
      <c r="D354" s="74" t="s">
        <v>89</v>
      </c>
      <c r="E354" s="74" t="s">
        <v>68</v>
      </c>
      <c r="F354" s="25">
        <f>' первое чтение вед стр-ра'!G409</f>
        <v>36</v>
      </c>
      <c r="G354" s="25">
        <f>' первое чтение вед стр-ра'!H409</f>
        <v>36</v>
      </c>
      <c r="H354" s="25">
        <f>' первое чтение вед стр-ра'!I409</f>
        <v>36</v>
      </c>
    </row>
    <row r="355" spans="1:8" s="21" customFormat="1" ht="76.5" customHeight="1" x14ac:dyDescent="0.2">
      <c r="A355" s="18" t="s">
        <v>347</v>
      </c>
      <c r="B355" s="19" t="s">
        <v>49</v>
      </c>
      <c r="C355" s="19" t="s">
        <v>15</v>
      </c>
      <c r="D355" s="19" t="s">
        <v>90</v>
      </c>
      <c r="E355" s="19"/>
      <c r="F355" s="54">
        <f>SUM(F356:F356)</f>
        <v>260</v>
      </c>
      <c r="G355" s="54">
        <f>SUM(G356:G356)</f>
        <v>260</v>
      </c>
      <c r="H355" s="54">
        <f>SUM(H356:H356)</f>
        <v>260</v>
      </c>
    </row>
    <row r="356" spans="1:8" s="71" customFormat="1" ht="12.75" customHeight="1" x14ac:dyDescent="0.2">
      <c r="A356" s="79" t="s">
        <v>67</v>
      </c>
      <c r="B356" s="74" t="s">
        <v>49</v>
      </c>
      <c r="C356" s="74" t="s">
        <v>15</v>
      </c>
      <c r="D356" s="74" t="s">
        <v>90</v>
      </c>
      <c r="E356" s="74" t="s">
        <v>68</v>
      </c>
      <c r="F356" s="25">
        <f>' первое чтение вед стр-ра'!G411</f>
        <v>260</v>
      </c>
      <c r="G356" s="25">
        <f>' первое чтение вед стр-ра'!H411</f>
        <v>260</v>
      </c>
      <c r="H356" s="25">
        <f>' первое чтение вед стр-ра'!I411</f>
        <v>260</v>
      </c>
    </row>
    <row r="357" spans="1:8" s="21" customFormat="1" ht="51" customHeight="1" x14ac:dyDescent="0.2">
      <c r="A357" s="18" t="s">
        <v>151</v>
      </c>
      <c r="B357" s="19" t="s">
        <v>49</v>
      </c>
      <c r="C357" s="19" t="s">
        <v>15</v>
      </c>
      <c r="D357" s="19" t="s">
        <v>91</v>
      </c>
      <c r="E357" s="19"/>
      <c r="F357" s="20">
        <f>F358</f>
        <v>29.1</v>
      </c>
      <c r="G357" s="20">
        <f t="shared" ref="G357:H357" si="79">G358</f>
        <v>29.1</v>
      </c>
      <c r="H357" s="20">
        <f t="shared" si="79"/>
        <v>29.1</v>
      </c>
    </row>
    <row r="358" spans="1:8" s="71" customFormat="1" ht="12.75" customHeight="1" x14ac:dyDescent="0.2">
      <c r="A358" s="79" t="s">
        <v>67</v>
      </c>
      <c r="B358" s="74" t="s">
        <v>49</v>
      </c>
      <c r="C358" s="74" t="s">
        <v>15</v>
      </c>
      <c r="D358" s="74" t="s">
        <v>91</v>
      </c>
      <c r="E358" s="74" t="s">
        <v>68</v>
      </c>
      <c r="F358" s="25">
        <f>' первое чтение вед стр-ра'!G413</f>
        <v>29.1</v>
      </c>
      <c r="G358" s="25">
        <f>' первое чтение вед стр-ра'!H413</f>
        <v>29.1</v>
      </c>
      <c r="H358" s="25">
        <f>' первое чтение вед стр-ра'!I413</f>
        <v>29.1</v>
      </c>
    </row>
    <row r="359" spans="1:8" s="21" customFormat="1" ht="63.75" customHeight="1" x14ac:dyDescent="0.2">
      <c r="A359" s="18" t="s">
        <v>279</v>
      </c>
      <c r="B359" s="19" t="s">
        <v>49</v>
      </c>
      <c r="C359" s="19" t="s">
        <v>15</v>
      </c>
      <c r="D359" s="19" t="s">
        <v>98</v>
      </c>
      <c r="E359" s="19"/>
      <c r="F359" s="20">
        <f>F361+F360</f>
        <v>1216</v>
      </c>
      <c r="G359" s="20">
        <f>G361+G360</f>
        <v>1216</v>
      </c>
      <c r="H359" s="20">
        <f>H361+H360</f>
        <v>1216</v>
      </c>
    </row>
    <row r="360" spans="1:8" s="21" customFormat="1" ht="25.5" customHeight="1" x14ac:dyDescent="0.2">
      <c r="A360" s="28" t="s">
        <v>74</v>
      </c>
      <c r="B360" s="24" t="s">
        <v>49</v>
      </c>
      <c r="C360" s="24" t="s">
        <v>15</v>
      </c>
      <c r="D360" s="24" t="s">
        <v>98</v>
      </c>
      <c r="E360" s="27" t="s">
        <v>66</v>
      </c>
      <c r="F360" s="25">
        <f>' первое чтение вед стр-ра'!G415</f>
        <v>6</v>
      </c>
      <c r="G360" s="25">
        <f>' первое чтение вед стр-ра'!H415</f>
        <v>6</v>
      </c>
      <c r="H360" s="25">
        <f>' первое чтение вед стр-ра'!I415</f>
        <v>6</v>
      </c>
    </row>
    <row r="361" spans="1:8" s="21" customFormat="1" ht="12.75" customHeight="1" x14ac:dyDescent="0.2">
      <c r="A361" s="28" t="s">
        <v>67</v>
      </c>
      <c r="B361" s="24" t="s">
        <v>49</v>
      </c>
      <c r="C361" s="24" t="s">
        <v>15</v>
      </c>
      <c r="D361" s="24" t="s">
        <v>98</v>
      </c>
      <c r="E361" s="24" t="s">
        <v>68</v>
      </c>
      <c r="F361" s="25">
        <f>' первое чтение вед стр-ра'!G416</f>
        <v>1210</v>
      </c>
      <c r="G361" s="25">
        <f>' первое чтение вед стр-ра'!H416</f>
        <v>1210</v>
      </c>
      <c r="H361" s="25">
        <f>' первое чтение вед стр-ра'!I416</f>
        <v>1210</v>
      </c>
    </row>
    <row r="362" spans="1:8" s="71" customFormat="1" ht="56.25" customHeight="1" x14ac:dyDescent="0.2">
      <c r="A362" s="67" t="s">
        <v>344</v>
      </c>
      <c r="B362" s="69" t="s">
        <v>49</v>
      </c>
      <c r="C362" s="69" t="s">
        <v>15</v>
      </c>
      <c r="D362" s="69" t="s">
        <v>87</v>
      </c>
      <c r="E362" s="69"/>
      <c r="F362" s="70">
        <f>F365+F363+F364</f>
        <v>1471</v>
      </c>
      <c r="G362" s="70">
        <f t="shared" ref="G362:H362" si="80">G365+G363+G364</f>
        <v>1471</v>
      </c>
      <c r="H362" s="70">
        <f t="shared" si="80"/>
        <v>1471</v>
      </c>
    </row>
    <row r="363" spans="1:8" s="71" customFormat="1" ht="25.5" customHeight="1" x14ac:dyDescent="0.2">
      <c r="A363" s="79" t="s">
        <v>74</v>
      </c>
      <c r="B363" s="74" t="s">
        <v>49</v>
      </c>
      <c r="C363" s="74" t="s">
        <v>15</v>
      </c>
      <c r="D363" s="74" t="s">
        <v>87</v>
      </c>
      <c r="E363" s="75" t="s">
        <v>66</v>
      </c>
      <c r="F363" s="54">
        <f>' первое чтение вед стр-ра'!G418</f>
        <v>25</v>
      </c>
      <c r="G363" s="54">
        <f>' первое чтение вед стр-ра'!H418</f>
        <v>25</v>
      </c>
      <c r="H363" s="54">
        <f>' первое чтение вед стр-ра'!I418</f>
        <v>25</v>
      </c>
    </row>
    <row r="364" spans="1:8" s="71" customFormat="1" ht="12.75" customHeight="1" x14ac:dyDescent="0.2">
      <c r="A364" s="79" t="s">
        <v>67</v>
      </c>
      <c r="B364" s="74" t="s">
        <v>49</v>
      </c>
      <c r="C364" s="74" t="s">
        <v>15</v>
      </c>
      <c r="D364" s="74" t="s">
        <v>87</v>
      </c>
      <c r="E364" s="74" t="s">
        <v>68</v>
      </c>
      <c r="F364" s="54">
        <f>' первое чтение вед стр-ра'!G419</f>
        <v>1276</v>
      </c>
      <c r="G364" s="54">
        <f>' первое чтение вед стр-ра'!H419</f>
        <v>1276</v>
      </c>
      <c r="H364" s="54">
        <f>' первое чтение вед стр-ра'!I419</f>
        <v>1276</v>
      </c>
    </row>
    <row r="365" spans="1:8" s="71" customFormat="1" ht="12.75" customHeight="1" x14ac:dyDescent="0.2">
      <c r="A365" s="79" t="s">
        <v>70</v>
      </c>
      <c r="B365" s="74" t="s">
        <v>49</v>
      </c>
      <c r="C365" s="74" t="s">
        <v>15</v>
      </c>
      <c r="D365" s="74" t="s">
        <v>87</v>
      </c>
      <c r="E365" s="74" t="s">
        <v>71</v>
      </c>
      <c r="F365" s="54">
        <f>' первое чтение вед стр-ра'!G420</f>
        <v>170</v>
      </c>
      <c r="G365" s="54">
        <f>' первое чтение вед стр-ра'!H420</f>
        <v>170</v>
      </c>
      <c r="H365" s="54">
        <f>' первое чтение вед стр-ра'!I420</f>
        <v>170</v>
      </c>
    </row>
    <row r="366" spans="1:8" s="71" customFormat="1" ht="12.75" customHeight="1" x14ac:dyDescent="0.2">
      <c r="A366" s="62" t="s">
        <v>54</v>
      </c>
      <c r="B366" s="64" t="s">
        <v>49</v>
      </c>
      <c r="C366" s="64" t="s">
        <v>17</v>
      </c>
      <c r="D366" s="64"/>
      <c r="E366" s="64"/>
      <c r="F366" s="65">
        <f>SUM(F367,F369,F371,F373,F375,F381,F385,F387,F390,F392)+F379+F383</f>
        <v>252386.5</v>
      </c>
      <c r="G366" s="65">
        <f t="shared" ref="G366:H366" si="81">SUM(G367,G369,G371,G373,G375,G381,G385,G387,G390,G392)+G379+G383</f>
        <v>256192.5</v>
      </c>
      <c r="H366" s="65">
        <f t="shared" si="81"/>
        <v>260576.5</v>
      </c>
    </row>
    <row r="367" spans="1:8" s="71" customFormat="1" ht="25.5" customHeight="1" x14ac:dyDescent="0.2">
      <c r="A367" s="67" t="s">
        <v>337</v>
      </c>
      <c r="B367" s="69" t="s">
        <v>49</v>
      </c>
      <c r="C367" s="69" t="s">
        <v>17</v>
      </c>
      <c r="D367" s="69" t="s">
        <v>335</v>
      </c>
      <c r="E367" s="69"/>
      <c r="F367" s="70">
        <f>F368</f>
        <v>73264</v>
      </c>
      <c r="G367" s="70">
        <f t="shared" ref="G367:H367" si="82">G368</f>
        <v>75462</v>
      </c>
      <c r="H367" s="70">
        <f t="shared" si="82"/>
        <v>77723</v>
      </c>
    </row>
    <row r="368" spans="1:8" s="76" customFormat="1" ht="12.75" customHeight="1" x14ac:dyDescent="0.2">
      <c r="A368" s="79" t="s">
        <v>67</v>
      </c>
      <c r="B368" s="74" t="s">
        <v>49</v>
      </c>
      <c r="C368" s="74" t="s">
        <v>17</v>
      </c>
      <c r="D368" s="74" t="s">
        <v>335</v>
      </c>
      <c r="E368" s="74" t="s">
        <v>68</v>
      </c>
      <c r="F368" s="54">
        <f>' первое чтение вед стр-ра'!G423</f>
        <v>73264</v>
      </c>
      <c r="G368" s="54">
        <f>' первое чтение вед стр-ра'!H423</f>
        <v>75462</v>
      </c>
      <c r="H368" s="54">
        <f>' первое чтение вед стр-ра'!I423</f>
        <v>77723</v>
      </c>
    </row>
    <row r="369" spans="1:8" s="21" customFormat="1" ht="38.25" customHeight="1" x14ac:dyDescent="0.2">
      <c r="A369" s="18" t="s">
        <v>185</v>
      </c>
      <c r="B369" s="19" t="s">
        <v>49</v>
      </c>
      <c r="C369" s="16" t="s">
        <v>17</v>
      </c>
      <c r="D369" s="19" t="s">
        <v>113</v>
      </c>
      <c r="E369" s="19"/>
      <c r="F369" s="20">
        <f>F370</f>
        <v>24009</v>
      </c>
      <c r="G369" s="20">
        <f>G370</f>
        <v>24009</v>
      </c>
      <c r="H369" s="20">
        <f>H370</f>
        <v>24133</v>
      </c>
    </row>
    <row r="370" spans="1:8" s="21" customFormat="1" ht="25.5" customHeight="1" x14ac:dyDescent="0.2">
      <c r="A370" s="28" t="s">
        <v>80</v>
      </c>
      <c r="B370" s="24" t="s">
        <v>49</v>
      </c>
      <c r="C370" s="24" t="s">
        <v>17</v>
      </c>
      <c r="D370" s="19" t="s">
        <v>113</v>
      </c>
      <c r="E370" s="24" t="s">
        <v>69</v>
      </c>
      <c r="F370" s="25">
        <f>' первое чтение вед стр-ра'!G172</f>
        <v>24009</v>
      </c>
      <c r="G370" s="25">
        <f>' первое чтение вед стр-ра'!H172</f>
        <v>24009</v>
      </c>
      <c r="H370" s="25">
        <f>' первое чтение вед стр-ра'!I172</f>
        <v>24133</v>
      </c>
    </row>
    <row r="371" spans="1:8" s="21" customFormat="1" ht="38.25" customHeight="1" x14ac:dyDescent="0.2">
      <c r="A371" s="18" t="s">
        <v>185</v>
      </c>
      <c r="B371" s="19" t="s">
        <v>49</v>
      </c>
      <c r="C371" s="16" t="s">
        <v>17</v>
      </c>
      <c r="D371" s="19" t="s">
        <v>289</v>
      </c>
      <c r="E371" s="19"/>
      <c r="F371" s="20">
        <f>F372</f>
        <v>58382</v>
      </c>
      <c r="G371" s="20">
        <f>G372</f>
        <v>58382</v>
      </c>
      <c r="H371" s="20">
        <f>H372</f>
        <v>58382</v>
      </c>
    </row>
    <row r="372" spans="1:8" s="71" customFormat="1" ht="25.5" customHeight="1" x14ac:dyDescent="0.2">
      <c r="A372" s="79" t="s">
        <v>80</v>
      </c>
      <c r="B372" s="74" t="s">
        <v>49</v>
      </c>
      <c r="C372" s="74" t="s">
        <v>17</v>
      </c>
      <c r="D372" s="69" t="s">
        <v>289</v>
      </c>
      <c r="E372" s="74" t="s">
        <v>69</v>
      </c>
      <c r="F372" s="54">
        <f>' первое чтение вед стр-ра'!G174</f>
        <v>58382</v>
      </c>
      <c r="G372" s="54">
        <f>' первое чтение вед стр-ра'!H174</f>
        <v>58382</v>
      </c>
      <c r="H372" s="54">
        <f>' первое чтение вед стр-ра'!I174</f>
        <v>58382</v>
      </c>
    </row>
    <row r="373" spans="1:8" s="21" customFormat="1" ht="25.5" customHeight="1" x14ac:dyDescent="0.2">
      <c r="A373" s="18" t="s">
        <v>217</v>
      </c>
      <c r="B373" s="19" t="s">
        <v>49</v>
      </c>
      <c r="C373" s="19" t="s">
        <v>17</v>
      </c>
      <c r="D373" s="19" t="s">
        <v>110</v>
      </c>
      <c r="E373" s="19"/>
      <c r="F373" s="20">
        <f>F374</f>
        <v>1200</v>
      </c>
      <c r="G373" s="20">
        <f t="shared" ref="G373:H373" si="83">G374</f>
        <v>1310</v>
      </c>
      <c r="H373" s="20">
        <f t="shared" si="83"/>
        <v>1330</v>
      </c>
    </row>
    <row r="374" spans="1:8" s="21" customFormat="1" ht="12.75" customHeight="1" x14ac:dyDescent="0.2">
      <c r="A374" s="28" t="s">
        <v>67</v>
      </c>
      <c r="B374" s="24" t="s">
        <v>49</v>
      </c>
      <c r="C374" s="24" t="s">
        <v>17</v>
      </c>
      <c r="D374" s="24" t="s">
        <v>110</v>
      </c>
      <c r="E374" s="24" t="s">
        <v>68</v>
      </c>
      <c r="F374" s="25">
        <f>' первое чтение вед стр-ра'!G303</f>
        <v>1200</v>
      </c>
      <c r="G374" s="25">
        <f>' первое чтение вед стр-ра'!H303</f>
        <v>1310</v>
      </c>
      <c r="H374" s="25">
        <f>' первое чтение вед стр-ра'!I303</f>
        <v>1330</v>
      </c>
    </row>
    <row r="375" spans="1:8" s="71" customFormat="1" ht="38.25" customHeight="1" x14ac:dyDescent="0.2">
      <c r="A375" s="67" t="s">
        <v>218</v>
      </c>
      <c r="B375" s="69" t="s">
        <v>49</v>
      </c>
      <c r="C375" s="69" t="s">
        <v>17</v>
      </c>
      <c r="D375" s="69" t="s">
        <v>108</v>
      </c>
      <c r="E375" s="69"/>
      <c r="F375" s="70">
        <f>F377+F378+F376</f>
        <v>2260.1000000000004</v>
      </c>
      <c r="G375" s="70">
        <f>G377+G378+G376</f>
        <v>2260.1000000000004</v>
      </c>
      <c r="H375" s="70">
        <f>H377+H378+H376</f>
        <v>2260.1000000000004</v>
      </c>
    </row>
    <row r="376" spans="1:8" s="71" customFormat="1" ht="25.5" customHeight="1" x14ac:dyDescent="0.2">
      <c r="A376" s="79" t="s">
        <v>74</v>
      </c>
      <c r="B376" s="74" t="s">
        <v>49</v>
      </c>
      <c r="C376" s="74" t="s">
        <v>17</v>
      </c>
      <c r="D376" s="74" t="s">
        <v>108</v>
      </c>
      <c r="E376" s="75" t="s">
        <v>66</v>
      </c>
      <c r="F376" s="54">
        <f>' первое чтение вед стр-ра'!G305</f>
        <v>1.8</v>
      </c>
      <c r="G376" s="54">
        <f>' первое чтение вед стр-ра'!H305</f>
        <v>1.8</v>
      </c>
      <c r="H376" s="54">
        <f>' первое чтение вед стр-ра'!I305</f>
        <v>1.8</v>
      </c>
    </row>
    <row r="377" spans="1:8" s="71" customFormat="1" ht="12.75" customHeight="1" x14ac:dyDescent="0.2">
      <c r="A377" s="92" t="s">
        <v>67</v>
      </c>
      <c r="B377" s="74" t="s">
        <v>49</v>
      </c>
      <c r="C377" s="74" t="s">
        <v>17</v>
      </c>
      <c r="D377" s="74" t="s">
        <v>108</v>
      </c>
      <c r="E377" s="93">
        <v>300</v>
      </c>
      <c r="F377" s="54">
        <f>' первое чтение вед стр-ра'!G306</f>
        <v>360</v>
      </c>
      <c r="G377" s="54">
        <f>' первое чтение вед стр-ра'!H306</f>
        <v>360</v>
      </c>
      <c r="H377" s="54">
        <f>' первое чтение вед стр-ра'!I306</f>
        <v>360</v>
      </c>
    </row>
    <row r="378" spans="1:8" s="71" customFormat="1" ht="25.5" customHeight="1" x14ac:dyDescent="0.2">
      <c r="A378" s="79" t="s">
        <v>119</v>
      </c>
      <c r="B378" s="74" t="s">
        <v>49</v>
      </c>
      <c r="C378" s="74" t="s">
        <v>17</v>
      </c>
      <c r="D378" s="74" t="s">
        <v>108</v>
      </c>
      <c r="E378" s="74" t="s">
        <v>63</v>
      </c>
      <c r="F378" s="54">
        <f>' первое чтение вед стр-ра'!G307</f>
        <v>1898.3</v>
      </c>
      <c r="G378" s="54">
        <f>' первое чтение вед стр-ра'!H307</f>
        <v>1898.3</v>
      </c>
      <c r="H378" s="54">
        <f>' первое чтение вед стр-ра'!I307</f>
        <v>1898.3</v>
      </c>
    </row>
    <row r="379" spans="1:8" s="21" customFormat="1" ht="29.25" customHeight="1" x14ac:dyDescent="0.2">
      <c r="A379" s="52" t="s">
        <v>342</v>
      </c>
      <c r="B379" s="19" t="s">
        <v>49</v>
      </c>
      <c r="C379" s="19" t="s">
        <v>17</v>
      </c>
      <c r="D379" s="19" t="s">
        <v>341</v>
      </c>
      <c r="E379" s="19"/>
      <c r="F379" s="20">
        <f>F380</f>
        <v>5</v>
      </c>
      <c r="G379" s="20">
        <f>G380</f>
        <v>0</v>
      </c>
      <c r="H379" s="20">
        <f>H380</f>
        <v>0</v>
      </c>
    </row>
    <row r="380" spans="1:8" s="26" customFormat="1" ht="12.75" customHeight="1" x14ac:dyDescent="0.2">
      <c r="A380" s="28" t="s">
        <v>67</v>
      </c>
      <c r="B380" s="24" t="s">
        <v>49</v>
      </c>
      <c r="C380" s="24" t="s">
        <v>17</v>
      </c>
      <c r="D380" s="24" t="s">
        <v>341</v>
      </c>
      <c r="E380" s="24" t="s">
        <v>68</v>
      </c>
      <c r="F380" s="25">
        <f>' первое чтение вед стр-ра'!G309</f>
        <v>5</v>
      </c>
      <c r="G380" s="25">
        <f>' первое чтение вед стр-ра'!H309</f>
        <v>0</v>
      </c>
      <c r="H380" s="25">
        <f>' первое чтение вед стр-ра'!I309</f>
        <v>0</v>
      </c>
    </row>
    <row r="381" spans="1:8" s="21" customFormat="1" ht="114.75" customHeight="1" x14ac:dyDescent="0.2">
      <c r="A381" s="52" t="s">
        <v>345</v>
      </c>
      <c r="B381" s="19" t="s">
        <v>49</v>
      </c>
      <c r="C381" s="19" t="s">
        <v>17</v>
      </c>
      <c r="D381" s="19" t="s">
        <v>109</v>
      </c>
      <c r="E381" s="19"/>
      <c r="F381" s="20">
        <f>F382</f>
        <v>39680</v>
      </c>
      <c r="G381" s="20">
        <f t="shared" ref="G381:H381" si="84">G382</f>
        <v>39680</v>
      </c>
      <c r="H381" s="20">
        <f t="shared" si="84"/>
        <v>39680</v>
      </c>
    </row>
    <row r="382" spans="1:8" s="21" customFormat="1" ht="12.75" customHeight="1" x14ac:dyDescent="0.2">
      <c r="A382" s="28" t="s">
        <v>67</v>
      </c>
      <c r="B382" s="24" t="s">
        <v>49</v>
      </c>
      <c r="C382" s="24" t="s">
        <v>17</v>
      </c>
      <c r="D382" s="24" t="s">
        <v>109</v>
      </c>
      <c r="E382" s="24" t="s">
        <v>68</v>
      </c>
      <c r="F382" s="25">
        <f>' первое чтение вед стр-ра'!G311</f>
        <v>39680</v>
      </c>
      <c r="G382" s="25">
        <f>' первое чтение вед стр-ра'!H311</f>
        <v>39680</v>
      </c>
      <c r="H382" s="25">
        <f>' первое чтение вед стр-ра'!I311</f>
        <v>39680</v>
      </c>
    </row>
    <row r="383" spans="1:8" s="21" customFormat="1" ht="112.5" customHeight="1" x14ac:dyDescent="0.2">
      <c r="A383" s="52" t="s">
        <v>579</v>
      </c>
      <c r="B383" s="19" t="s">
        <v>49</v>
      </c>
      <c r="C383" s="19" t="s">
        <v>17</v>
      </c>
      <c r="D383" s="19" t="s">
        <v>343</v>
      </c>
      <c r="E383" s="19"/>
      <c r="F383" s="20">
        <f>F384</f>
        <v>250</v>
      </c>
      <c r="G383" s="20">
        <f>G384</f>
        <v>250</v>
      </c>
      <c r="H383" s="20">
        <f>H384</f>
        <v>250</v>
      </c>
    </row>
    <row r="384" spans="1:8" s="26" customFormat="1" ht="12.75" customHeight="1" x14ac:dyDescent="0.2">
      <c r="A384" s="28" t="s">
        <v>67</v>
      </c>
      <c r="B384" s="24" t="s">
        <v>49</v>
      </c>
      <c r="C384" s="24" t="s">
        <v>17</v>
      </c>
      <c r="D384" s="24" t="s">
        <v>343</v>
      </c>
      <c r="E384" s="24" t="s">
        <v>68</v>
      </c>
      <c r="F384" s="25">
        <f>' первое чтение вед стр-ра'!G313</f>
        <v>250</v>
      </c>
      <c r="G384" s="25">
        <f>' первое чтение вед стр-ра'!H313</f>
        <v>250</v>
      </c>
      <c r="H384" s="25">
        <f>' первое чтение вед стр-ра'!I313</f>
        <v>250</v>
      </c>
    </row>
    <row r="385" spans="1:8" s="21" customFormat="1" ht="38.25" customHeight="1" x14ac:dyDescent="0.2">
      <c r="A385" s="18" t="s">
        <v>330</v>
      </c>
      <c r="B385" s="19" t="s">
        <v>49</v>
      </c>
      <c r="C385" s="19" t="s">
        <v>17</v>
      </c>
      <c r="D385" s="19" t="s">
        <v>331</v>
      </c>
      <c r="E385" s="19"/>
      <c r="F385" s="20">
        <f>F386</f>
        <v>2957.1</v>
      </c>
      <c r="G385" s="20">
        <f>G386</f>
        <v>2957.1</v>
      </c>
      <c r="H385" s="20">
        <f>H386</f>
        <v>2957.1</v>
      </c>
    </row>
    <row r="386" spans="1:8" s="26" customFormat="1" ht="25.5" customHeight="1" x14ac:dyDescent="0.2">
      <c r="A386" s="79" t="s">
        <v>119</v>
      </c>
      <c r="B386" s="24" t="s">
        <v>49</v>
      </c>
      <c r="C386" s="24" t="s">
        <v>17</v>
      </c>
      <c r="D386" s="24" t="s">
        <v>331</v>
      </c>
      <c r="E386" s="24" t="s">
        <v>63</v>
      </c>
      <c r="F386" s="25">
        <f>' первое чтение вед стр-ра'!G315</f>
        <v>2957.1</v>
      </c>
      <c r="G386" s="25">
        <f>' первое чтение вед стр-ра'!H315</f>
        <v>2957.1</v>
      </c>
      <c r="H386" s="25">
        <f>' первое чтение вед стр-ра'!I315</f>
        <v>2957.1</v>
      </c>
    </row>
    <row r="387" spans="1:8" s="21" customFormat="1" ht="38.25" customHeight="1" x14ac:dyDescent="0.2">
      <c r="A387" s="18" t="s">
        <v>329</v>
      </c>
      <c r="B387" s="19" t="s">
        <v>49</v>
      </c>
      <c r="C387" s="19" t="s">
        <v>17</v>
      </c>
      <c r="D387" s="19" t="s">
        <v>328</v>
      </c>
      <c r="E387" s="19"/>
      <c r="F387" s="20">
        <f>F389+F388</f>
        <v>1350.3</v>
      </c>
      <c r="G387" s="20">
        <f t="shared" ref="G387:H387" si="85">G389+G388</f>
        <v>1350.3</v>
      </c>
      <c r="H387" s="20">
        <f t="shared" si="85"/>
        <v>1350.3</v>
      </c>
    </row>
    <row r="388" spans="1:8" s="26" customFormat="1" ht="25.5" customHeight="1" x14ac:dyDescent="0.2">
      <c r="A388" s="79" t="s">
        <v>74</v>
      </c>
      <c r="B388" s="24" t="s">
        <v>49</v>
      </c>
      <c r="C388" s="24" t="s">
        <v>17</v>
      </c>
      <c r="D388" s="24" t="s">
        <v>328</v>
      </c>
      <c r="E388" s="24" t="s">
        <v>66</v>
      </c>
      <c r="F388" s="25">
        <f>' первое чтение вед стр-ра'!G317</f>
        <v>393.2</v>
      </c>
      <c r="G388" s="25">
        <f>' первое чтение вед стр-ра'!H317</f>
        <v>393.2</v>
      </c>
      <c r="H388" s="25">
        <f>' первое чтение вед стр-ра'!I317</f>
        <v>393.2</v>
      </c>
    </row>
    <row r="389" spans="1:8" s="26" customFormat="1" ht="25.5" customHeight="1" x14ac:dyDescent="0.2">
      <c r="A389" s="79" t="s">
        <v>119</v>
      </c>
      <c r="B389" s="24" t="s">
        <v>49</v>
      </c>
      <c r="C389" s="24" t="s">
        <v>17</v>
      </c>
      <c r="D389" s="24" t="s">
        <v>328</v>
      </c>
      <c r="E389" s="24" t="s">
        <v>63</v>
      </c>
      <c r="F389" s="25">
        <f>' первое чтение вед стр-ра'!G318</f>
        <v>957.1</v>
      </c>
      <c r="G389" s="25">
        <f>' первое чтение вед стр-ра'!H318</f>
        <v>957.1</v>
      </c>
      <c r="H389" s="25">
        <f>' первое чтение вед стр-ра'!I318</f>
        <v>957.1</v>
      </c>
    </row>
    <row r="390" spans="1:8" s="21" customFormat="1" ht="76.5" customHeight="1" x14ac:dyDescent="0.2">
      <c r="A390" s="18" t="s">
        <v>233</v>
      </c>
      <c r="B390" s="19" t="s">
        <v>49</v>
      </c>
      <c r="C390" s="19" t="s">
        <v>17</v>
      </c>
      <c r="D390" s="19" t="s">
        <v>96</v>
      </c>
      <c r="E390" s="19"/>
      <c r="F390" s="20">
        <f>F391</f>
        <v>615</v>
      </c>
      <c r="G390" s="20">
        <f>G391</f>
        <v>634</v>
      </c>
      <c r="H390" s="20">
        <f>H391</f>
        <v>659</v>
      </c>
    </row>
    <row r="391" spans="1:8" s="71" customFormat="1" ht="12.75" customHeight="1" x14ac:dyDescent="0.2">
      <c r="A391" s="79" t="s">
        <v>67</v>
      </c>
      <c r="B391" s="74" t="s">
        <v>49</v>
      </c>
      <c r="C391" s="74" t="s">
        <v>17</v>
      </c>
      <c r="D391" s="74" t="s">
        <v>96</v>
      </c>
      <c r="E391" s="74" t="s">
        <v>68</v>
      </c>
      <c r="F391" s="54">
        <f>' первое чтение вед стр-ра'!G425</f>
        <v>615</v>
      </c>
      <c r="G391" s="54">
        <f>' первое чтение вед стр-ра'!H425</f>
        <v>634</v>
      </c>
      <c r="H391" s="54">
        <f>' первое чтение вед стр-ра'!I425</f>
        <v>659</v>
      </c>
    </row>
    <row r="392" spans="1:8" s="21" customFormat="1" ht="89.25" customHeight="1" x14ac:dyDescent="0.2">
      <c r="A392" s="18" t="s">
        <v>234</v>
      </c>
      <c r="B392" s="19" t="s">
        <v>49</v>
      </c>
      <c r="C392" s="19" t="s">
        <v>17</v>
      </c>
      <c r="D392" s="19" t="s">
        <v>97</v>
      </c>
      <c r="E392" s="19"/>
      <c r="F392" s="20">
        <f>F393</f>
        <v>48414</v>
      </c>
      <c r="G392" s="20">
        <f t="shared" ref="G392:H392" si="86">G393</f>
        <v>49898</v>
      </c>
      <c r="H392" s="20">
        <f t="shared" si="86"/>
        <v>51852</v>
      </c>
    </row>
    <row r="393" spans="1:8" s="71" customFormat="1" ht="12.75" customHeight="1" x14ac:dyDescent="0.2">
      <c r="A393" s="79" t="s">
        <v>67</v>
      </c>
      <c r="B393" s="74" t="s">
        <v>49</v>
      </c>
      <c r="C393" s="74" t="s">
        <v>17</v>
      </c>
      <c r="D393" s="69" t="s">
        <v>97</v>
      </c>
      <c r="E393" s="74" t="s">
        <v>68</v>
      </c>
      <c r="F393" s="25">
        <f>' первое чтение вед стр-ра'!G427</f>
        <v>48414</v>
      </c>
      <c r="G393" s="25">
        <f>' первое чтение вед стр-ра'!H427</f>
        <v>49898</v>
      </c>
      <c r="H393" s="25">
        <f>' первое чтение вед стр-ра'!I427</f>
        <v>51852</v>
      </c>
    </row>
    <row r="394" spans="1:8" s="71" customFormat="1" ht="12.75" customHeight="1" x14ac:dyDescent="0.2">
      <c r="A394" s="62" t="s">
        <v>55</v>
      </c>
      <c r="B394" s="64" t="s">
        <v>49</v>
      </c>
      <c r="C394" s="64" t="s">
        <v>48</v>
      </c>
      <c r="D394" s="64"/>
      <c r="E394" s="64"/>
      <c r="F394" s="65">
        <f>F395+F398+F400+F402+F410+F404+F406+F414+F408+F418</f>
        <v>36302.699999999997</v>
      </c>
      <c r="G394" s="65">
        <f t="shared" ref="G394:H394" si="87">G395+G398+G400+G402+G410+G404+G406+G414+G408+G418</f>
        <v>28219.9</v>
      </c>
      <c r="H394" s="65">
        <f t="shared" si="87"/>
        <v>28219.9</v>
      </c>
    </row>
    <row r="395" spans="1:8" s="21" customFormat="1" x14ac:dyDescent="0.2">
      <c r="A395" s="18" t="s">
        <v>153</v>
      </c>
      <c r="B395" s="19" t="s">
        <v>49</v>
      </c>
      <c r="C395" s="19" t="s">
        <v>48</v>
      </c>
      <c r="D395" s="19" t="s">
        <v>152</v>
      </c>
      <c r="E395" s="19"/>
      <c r="F395" s="20">
        <f>F397+F396</f>
        <v>112.3</v>
      </c>
      <c r="G395" s="20">
        <f>G397+G396</f>
        <v>0</v>
      </c>
      <c r="H395" s="20">
        <f>H397+H396</f>
        <v>0</v>
      </c>
    </row>
    <row r="396" spans="1:8" s="21" customFormat="1" ht="25.5" x14ac:dyDescent="0.2">
      <c r="A396" s="28" t="s">
        <v>74</v>
      </c>
      <c r="B396" s="24" t="s">
        <v>49</v>
      </c>
      <c r="C396" s="24" t="s">
        <v>48</v>
      </c>
      <c r="D396" s="24" t="s">
        <v>152</v>
      </c>
      <c r="E396" s="27" t="s">
        <v>66</v>
      </c>
      <c r="F396" s="25">
        <f>' первое чтение вед стр-ра'!G103</f>
        <v>0.6</v>
      </c>
      <c r="G396" s="25">
        <f>' первое чтение вед стр-ра'!H103</f>
        <v>0</v>
      </c>
      <c r="H396" s="25">
        <f>' первое чтение вед стр-ра'!I103</f>
        <v>0</v>
      </c>
    </row>
    <row r="397" spans="1:8" s="21" customFormat="1" x14ac:dyDescent="0.2">
      <c r="A397" s="28" t="s">
        <v>67</v>
      </c>
      <c r="B397" s="24" t="s">
        <v>49</v>
      </c>
      <c r="C397" s="24" t="s">
        <v>48</v>
      </c>
      <c r="D397" s="24" t="s">
        <v>152</v>
      </c>
      <c r="E397" s="24" t="s">
        <v>68</v>
      </c>
      <c r="F397" s="25">
        <f>' первое чтение вед стр-ра'!G104</f>
        <v>111.7</v>
      </c>
      <c r="G397" s="25">
        <f>' первое чтение вед стр-ра'!H104</f>
        <v>0</v>
      </c>
      <c r="H397" s="25">
        <f>' первое чтение вед стр-ра'!I104</f>
        <v>0</v>
      </c>
    </row>
    <row r="398" spans="1:8" s="21" customFormat="1" ht="12.75" customHeight="1" x14ac:dyDescent="0.2">
      <c r="A398" s="18" t="s">
        <v>235</v>
      </c>
      <c r="B398" s="19" t="s">
        <v>49</v>
      </c>
      <c r="C398" s="19" t="s">
        <v>48</v>
      </c>
      <c r="D398" s="19" t="s">
        <v>236</v>
      </c>
      <c r="E398" s="19"/>
      <c r="F398" s="20">
        <f>F399</f>
        <v>2241.6</v>
      </c>
      <c r="G398" s="20">
        <f t="shared" ref="G398:H398" si="88">G399</f>
        <v>0</v>
      </c>
      <c r="H398" s="20">
        <f t="shared" si="88"/>
        <v>0</v>
      </c>
    </row>
    <row r="399" spans="1:8" s="21" customFormat="1" ht="25.5" customHeight="1" x14ac:dyDescent="0.2">
      <c r="A399" s="28" t="s">
        <v>74</v>
      </c>
      <c r="B399" s="24" t="s">
        <v>49</v>
      </c>
      <c r="C399" s="24" t="s">
        <v>48</v>
      </c>
      <c r="D399" s="24" t="s">
        <v>236</v>
      </c>
      <c r="E399" s="24" t="s">
        <v>66</v>
      </c>
      <c r="F399" s="25">
        <f>' первое чтение вед стр-ра'!G430</f>
        <v>2241.6</v>
      </c>
      <c r="G399" s="25">
        <f>' первое чтение вед стр-ра'!H430</f>
        <v>0</v>
      </c>
      <c r="H399" s="25">
        <f>' первое чтение вед стр-ра'!I430</f>
        <v>0</v>
      </c>
    </row>
    <row r="400" spans="1:8" s="21" customFormat="1" ht="12.75" customHeight="1" x14ac:dyDescent="0.2">
      <c r="A400" s="18" t="s">
        <v>237</v>
      </c>
      <c r="B400" s="19" t="s">
        <v>49</v>
      </c>
      <c r="C400" s="19" t="s">
        <v>48</v>
      </c>
      <c r="D400" s="19" t="s">
        <v>238</v>
      </c>
      <c r="E400" s="19"/>
      <c r="F400" s="20">
        <f>F401</f>
        <v>968.2</v>
      </c>
      <c r="G400" s="20">
        <f>G401</f>
        <v>0</v>
      </c>
      <c r="H400" s="20">
        <f>H401</f>
        <v>0</v>
      </c>
    </row>
    <row r="401" spans="1:8" s="21" customFormat="1" ht="25.5" customHeight="1" x14ac:dyDescent="0.2">
      <c r="A401" s="28" t="s">
        <v>119</v>
      </c>
      <c r="B401" s="24" t="s">
        <v>49</v>
      </c>
      <c r="C401" s="24" t="s">
        <v>48</v>
      </c>
      <c r="D401" s="24" t="s">
        <v>238</v>
      </c>
      <c r="E401" s="24" t="s">
        <v>63</v>
      </c>
      <c r="F401" s="25">
        <f>' первое чтение вед стр-ра'!G432</f>
        <v>968.2</v>
      </c>
      <c r="G401" s="54">
        <v>0</v>
      </c>
      <c r="H401" s="54">
        <v>0</v>
      </c>
    </row>
    <row r="402" spans="1:8" s="71" customFormat="1" ht="12.75" customHeight="1" x14ac:dyDescent="0.2">
      <c r="A402" s="67" t="s">
        <v>268</v>
      </c>
      <c r="B402" s="69" t="s">
        <v>49</v>
      </c>
      <c r="C402" s="69" t="s">
        <v>48</v>
      </c>
      <c r="D402" s="69" t="s">
        <v>269</v>
      </c>
      <c r="E402" s="69"/>
      <c r="F402" s="70">
        <f>F403</f>
        <v>718.7</v>
      </c>
      <c r="G402" s="70">
        <f t="shared" ref="G402:H402" si="89">G403</f>
        <v>0</v>
      </c>
      <c r="H402" s="70">
        <f t="shared" si="89"/>
        <v>0</v>
      </c>
    </row>
    <row r="403" spans="1:8" s="21" customFormat="1" ht="12.75" customHeight="1" x14ac:dyDescent="0.2">
      <c r="A403" s="28" t="s">
        <v>67</v>
      </c>
      <c r="B403" s="24" t="s">
        <v>49</v>
      </c>
      <c r="C403" s="24" t="s">
        <v>48</v>
      </c>
      <c r="D403" s="24" t="s">
        <v>269</v>
      </c>
      <c r="E403" s="24" t="s">
        <v>68</v>
      </c>
      <c r="F403" s="25">
        <f>' первое чтение вед стр-ра'!G508</f>
        <v>718.7</v>
      </c>
      <c r="G403" s="25">
        <f>' первое чтение вед стр-ра'!H508</f>
        <v>0</v>
      </c>
      <c r="H403" s="25">
        <f>' первое чтение вед стр-ра'!I508</f>
        <v>0</v>
      </c>
    </row>
    <row r="404" spans="1:8" s="21" customFormat="1" ht="25.5" customHeight="1" x14ac:dyDescent="0.2">
      <c r="A404" s="18" t="s">
        <v>271</v>
      </c>
      <c r="B404" s="19" t="s">
        <v>49</v>
      </c>
      <c r="C404" s="19" t="s">
        <v>48</v>
      </c>
      <c r="D404" s="19" t="s">
        <v>270</v>
      </c>
      <c r="E404" s="19"/>
      <c r="F404" s="20">
        <f>F405</f>
        <v>1573.8</v>
      </c>
      <c r="G404" s="20">
        <f>G405</f>
        <v>0</v>
      </c>
      <c r="H404" s="20">
        <f>H405</f>
        <v>0</v>
      </c>
    </row>
    <row r="405" spans="1:8" s="21" customFormat="1" ht="12.75" customHeight="1" x14ac:dyDescent="0.2">
      <c r="A405" s="28" t="s">
        <v>67</v>
      </c>
      <c r="B405" s="24" t="s">
        <v>49</v>
      </c>
      <c r="C405" s="24" t="s">
        <v>48</v>
      </c>
      <c r="D405" s="24" t="s">
        <v>270</v>
      </c>
      <c r="E405" s="24" t="s">
        <v>68</v>
      </c>
      <c r="F405" s="25">
        <f>' первое чтение вед стр-ра'!G510</f>
        <v>1573.8</v>
      </c>
      <c r="G405" s="25">
        <f>' первое чтение вед стр-ра'!H510</f>
        <v>0</v>
      </c>
      <c r="H405" s="25">
        <f>' первое чтение вед стр-ра'!I510</f>
        <v>0</v>
      </c>
    </row>
    <row r="406" spans="1:8" s="21" customFormat="1" ht="63.75" customHeight="1" x14ac:dyDescent="0.2">
      <c r="A406" s="53" t="s">
        <v>273</v>
      </c>
      <c r="B406" s="177" t="s">
        <v>49</v>
      </c>
      <c r="C406" s="19" t="s">
        <v>48</v>
      </c>
      <c r="D406" s="19" t="s">
        <v>272</v>
      </c>
      <c r="E406" s="19"/>
      <c r="F406" s="20">
        <f>F407</f>
        <v>35.5</v>
      </c>
      <c r="G406" s="20">
        <f>G407</f>
        <v>0</v>
      </c>
      <c r="H406" s="20">
        <f>H407</f>
        <v>0</v>
      </c>
    </row>
    <row r="407" spans="1:8" s="21" customFormat="1" ht="12.75" customHeight="1" x14ac:dyDescent="0.2">
      <c r="A407" s="49" t="s">
        <v>67</v>
      </c>
      <c r="B407" s="24" t="s">
        <v>49</v>
      </c>
      <c r="C407" s="24" t="s">
        <v>48</v>
      </c>
      <c r="D407" s="24" t="s">
        <v>272</v>
      </c>
      <c r="E407" s="24" t="s">
        <v>68</v>
      </c>
      <c r="F407" s="25">
        <f>' первое чтение вед стр-ра'!G512</f>
        <v>35.5</v>
      </c>
      <c r="G407" s="25">
        <f>' первое чтение вед стр-ра'!H512</f>
        <v>0</v>
      </c>
      <c r="H407" s="25">
        <f>' первое чтение вед стр-ра'!I512</f>
        <v>0</v>
      </c>
    </row>
    <row r="408" spans="1:8" s="71" customFormat="1" ht="25.5" customHeight="1" x14ac:dyDescent="0.2">
      <c r="A408" s="67" t="s">
        <v>323</v>
      </c>
      <c r="B408" s="69" t="s">
        <v>49</v>
      </c>
      <c r="C408" s="69" t="s">
        <v>48</v>
      </c>
      <c r="D408" s="69" t="s">
        <v>322</v>
      </c>
      <c r="E408" s="69"/>
      <c r="F408" s="70">
        <f>F409</f>
        <v>10</v>
      </c>
      <c r="G408" s="70">
        <f>G409</f>
        <v>0</v>
      </c>
      <c r="H408" s="70">
        <f>H409</f>
        <v>0</v>
      </c>
    </row>
    <row r="409" spans="1:8" s="76" customFormat="1" ht="12.75" customHeight="1" x14ac:dyDescent="0.2">
      <c r="A409" s="79" t="s">
        <v>67</v>
      </c>
      <c r="B409" s="74" t="s">
        <v>49</v>
      </c>
      <c r="C409" s="74" t="s">
        <v>48</v>
      </c>
      <c r="D409" s="74" t="s">
        <v>322</v>
      </c>
      <c r="E409" s="74" t="s">
        <v>66</v>
      </c>
      <c r="F409" s="54">
        <f>' первое чтение вед стр-ра'!G434</f>
        <v>10</v>
      </c>
      <c r="G409" s="54">
        <f>' первое чтение вед стр-ра'!H434</f>
        <v>0</v>
      </c>
      <c r="H409" s="54">
        <f>' первое чтение вед стр-ра'!I434</f>
        <v>0</v>
      </c>
    </row>
    <row r="410" spans="1:8" s="71" customFormat="1" ht="25.5" customHeight="1" x14ac:dyDescent="0.2">
      <c r="A410" s="67" t="s">
        <v>239</v>
      </c>
      <c r="B410" s="69" t="s">
        <v>49</v>
      </c>
      <c r="C410" s="69" t="s">
        <v>48</v>
      </c>
      <c r="D410" s="69" t="s">
        <v>94</v>
      </c>
      <c r="E410" s="69"/>
      <c r="F410" s="70">
        <f>F411+F412+F413</f>
        <v>28219.9</v>
      </c>
      <c r="G410" s="70">
        <f>G411+G412+G413</f>
        <v>28219.9</v>
      </c>
      <c r="H410" s="70">
        <f>H411+H412+H413</f>
        <v>28219.9</v>
      </c>
    </row>
    <row r="411" spans="1:8" s="21" customFormat="1" ht="51" customHeight="1" x14ac:dyDescent="0.2">
      <c r="A411" s="30" t="s">
        <v>64</v>
      </c>
      <c r="B411" s="24" t="s">
        <v>49</v>
      </c>
      <c r="C411" s="24" t="s">
        <v>48</v>
      </c>
      <c r="D411" s="24" t="s">
        <v>94</v>
      </c>
      <c r="E411" s="27" t="s">
        <v>65</v>
      </c>
      <c r="F411" s="25">
        <f>' первое чтение вед стр-ра'!G436</f>
        <v>26948.9</v>
      </c>
      <c r="G411" s="25">
        <f>' первое чтение вед стр-ра'!H436</f>
        <v>26948.9</v>
      </c>
      <c r="H411" s="25">
        <f>' первое чтение вед стр-ра'!I436</f>
        <v>26948.9</v>
      </c>
    </row>
    <row r="412" spans="1:8" s="21" customFormat="1" ht="25.5" customHeight="1" x14ac:dyDescent="0.2">
      <c r="A412" s="28" t="s">
        <v>74</v>
      </c>
      <c r="B412" s="24" t="s">
        <v>49</v>
      </c>
      <c r="C412" s="24" t="s">
        <v>48</v>
      </c>
      <c r="D412" s="24" t="s">
        <v>94</v>
      </c>
      <c r="E412" s="27" t="s">
        <v>66</v>
      </c>
      <c r="F412" s="25">
        <f>' первое чтение вед стр-ра'!G437</f>
        <v>1263.4000000000001</v>
      </c>
      <c r="G412" s="25">
        <f>' первое чтение вед стр-ра'!H437</f>
        <v>1263.4000000000001</v>
      </c>
      <c r="H412" s="25">
        <f>' первое чтение вед стр-ра'!I437</f>
        <v>1263.4000000000001</v>
      </c>
    </row>
    <row r="413" spans="1:8" s="71" customFormat="1" ht="12.75" customHeight="1" x14ac:dyDescent="0.2">
      <c r="A413" s="79" t="s">
        <v>70</v>
      </c>
      <c r="B413" s="74" t="s">
        <v>49</v>
      </c>
      <c r="C413" s="74" t="s">
        <v>48</v>
      </c>
      <c r="D413" s="74" t="s">
        <v>94</v>
      </c>
      <c r="E413" s="74" t="s">
        <v>71</v>
      </c>
      <c r="F413" s="25">
        <f>' первое чтение вед стр-ра'!G438</f>
        <v>7.6</v>
      </c>
      <c r="G413" s="25">
        <f>' первое чтение вед стр-ра'!H438</f>
        <v>7.6</v>
      </c>
      <c r="H413" s="25">
        <f>' первое чтение вед стр-ра'!I438</f>
        <v>7.6</v>
      </c>
    </row>
    <row r="414" spans="1:8" s="71" customFormat="1" ht="12.75" customHeight="1" x14ac:dyDescent="0.2">
      <c r="A414" s="67" t="s">
        <v>147</v>
      </c>
      <c r="B414" s="97" t="s">
        <v>49</v>
      </c>
      <c r="C414" s="69" t="s">
        <v>48</v>
      </c>
      <c r="D414" s="97" t="s">
        <v>148</v>
      </c>
      <c r="E414" s="69"/>
      <c r="F414" s="70">
        <f>F416+F415+F417</f>
        <v>2392.6999999999998</v>
      </c>
      <c r="G414" s="70">
        <f t="shared" ref="G414:H414" si="90">G416+G415+G417</f>
        <v>0</v>
      </c>
      <c r="H414" s="70">
        <f t="shared" si="90"/>
        <v>0</v>
      </c>
    </row>
    <row r="415" spans="1:8" s="21" customFormat="1" ht="25.5" customHeight="1" x14ac:dyDescent="0.2">
      <c r="A415" s="30" t="s">
        <v>355</v>
      </c>
      <c r="B415" s="24" t="s">
        <v>49</v>
      </c>
      <c r="C415" s="24" t="s">
        <v>48</v>
      </c>
      <c r="D415" s="24" t="s">
        <v>148</v>
      </c>
      <c r="E415" s="24" t="s">
        <v>66</v>
      </c>
      <c r="F415" s="20">
        <f>' первое чтение вед стр-ра'!G440</f>
        <v>3</v>
      </c>
      <c r="G415" s="20">
        <f>' первое чтение вед стр-ра'!H440</f>
        <v>0</v>
      </c>
      <c r="H415" s="20">
        <f>' первое чтение вед стр-ра'!I440</f>
        <v>0</v>
      </c>
    </row>
    <row r="416" spans="1:8" s="71" customFormat="1" ht="12.75" customHeight="1" x14ac:dyDescent="0.2">
      <c r="A416" s="79" t="s">
        <v>67</v>
      </c>
      <c r="B416" s="74" t="s">
        <v>49</v>
      </c>
      <c r="C416" s="74" t="s">
        <v>48</v>
      </c>
      <c r="D416" s="74" t="s">
        <v>148</v>
      </c>
      <c r="E416" s="74" t="s">
        <v>68</v>
      </c>
      <c r="F416" s="20">
        <f>' первое чтение вед стр-ра'!G441</f>
        <v>689.7</v>
      </c>
      <c r="G416" s="20">
        <f>' первое чтение вед стр-ра'!H441</f>
        <v>0</v>
      </c>
      <c r="H416" s="20">
        <f>' первое чтение вед стр-ра'!I441</f>
        <v>0</v>
      </c>
    </row>
    <row r="417" spans="1:8" s="71" customFormat="1" ht="25.5" customHeight="1" x14ac:dyDescent="0.2">
      <c r="A417" s="28" t="s">
        <v>80</v>
      </c>
      <c r="B417" s="24" t="s">
        <v>49</v>
      </c>
      <c r="C417" s="24" t="s">
        <v>48</v>
      </c>
      <c r="D417" s="24" t="s">
        <v>148</v>
      </c>
      <c r="E417" s="24" t="s">
        <v>69</v>
      </c>
      <c r="F417" s="20">
        <f>' первое чтение вед стр-ра'!G442</f>
        <v>1700</v>
      </c>
      <c r="G417" s="20"/>
    </row>
    <row r="418" spans="1:8" s="71" customFormat="1" ht="12.75" customHeight="1" x14ac:dyDescent="0.2">
      <c r="A418" s="67" t="s">
        <v>334</v>
      </c>
      <c r="B418" s="69" t="s">
        <v>49</v>
      </c>
      <c r="C418" s="69" t="s">
        <v>48</v>
      </c>
      <c r="D418" s="97" t="s">
        <v>333</v>
      </c>
      <c r="E418" s="69"/>
      <c r="F418" s="65">
        <f>F419</f>
        <v>30</v>
      </c>
      <c r="G418" s="65">
        <f t="shared" ref="G418:H418" si="91">G419</f>
        <v>0</v>
      </c>
      <c r="H418" s="65">
        <f t="shared" si="91"/>
        <v>0</v>
      </c>
    </row>
    <row r="419" spans="1:8" s="21" customFormat="1" ht="25.5" customHeight="1" x14ac:dyDescent="0.2">
      <c r="A419" s="28" t="s">
        <v>74</v>
      </c>
      <c r="B419" s="24" t="s">
        <v>49</v>
      </c>
      <c r="C419" s="24" t="s">
        <v>48</v>
      </c>
      <c r="D419" s="24" t="s">
        <v>333</v>
      </c>
      <c r="E419" s="24" t="s">
        <v>66</v>
      </c>
      <c r="F419" s="20">
        <f>' первое чтение вед стр-ра'!G444</f>
        <v>30</v>
      </c>
      <c r="G419" s="20">
        <f>' первое чтение вед стр-ра'!H444</f>
        <v>0</v>
      </c>
      <c r="H419" s="20">
        <f>' первое чтение вед стр-ра'!I444</f>
        <v>0</v>
      </c>
    </row>
    <row r="420" spans="1:8" s="21" customFormat="1" ht="15.75" customHeight="1" x14ac:dyDescent="0.25">
      <c r="A420" s="121" t="s">
        <v>534</v>
      </c>
      <c r="B420" s="120" t="s">
        <v>20</v>
      </c>
      <c r="C420" s="120" t="s">
        <v>352</v>
      </c>
      <c r="D420" s="120"/>
      <c r="E420" s="120"/>
      <c r="F420" s="175">
        <f>F421+F434+F438</f>
        <v>88239.900000000009</v>
      </c>
      <c r="G420" s="175">
        <f>G421+G434+G438</f>
        <v>78833.3</v>
      </c>
      <c r="H420" s="175">
        <f>H421+H434+H438</f>
        <v>77878.400000000009</v>
      </c>
    </row>
    <row r="421" spans="1:8" s="9" customFormat="1" ht="12.75" customHeight="1" x14ac:dyDescent="0.2">
      <c r="A421" s="11" t="s">
        <v>1</v>
      </c>
      <c r="B421" s="8" t="s">
        <v>20</v>
      </c>
      <c r="C421" s="8" t="s">
        <v>11</v>
      </c>
      <c r="D421" s="8"/>
      <c r="E421" s="8"/>
      <c r="F421" s="4">
        <f>F426+F430+F422+F428+F424+F432</f>
        <v>83193.3</v>
      </c>
      <c r="G421" s="4">
        <f t="shared" ref="G421:H421" si="92">G426+G430+G422+G428+G424+G432</f>
        <v>74251.7</v>
      </c>
      <c r="H421" s="4">
        <f t="shared" si="92"/>
        <v>73296.800000000003</v>
      </c>
    </row>
    <row r="422" spans="1:8" s="12" customFormat="1" ht="25.5" customHeight="1" x14ac:dyDescent="0.2">
      <c r="A422" s="17" t="s">
        <v>135</v>
      </c>
      <c r="B422" s="19" t="s">
        <v>20</v>
      </c>
      <c r="C422" s="19" t="s">
        <v>11</v>
      </c>
      <c r="D422" s="19" t="s">
        <v>134</v>
      </c>
      <c r="E422" s="5"/>
      <c r="F422" s="6">
        <f>F423</f>
        <v>165</v>
      </c>
      <c r="G422" s="6">
        <f>G423</f>
        <v>0</v>
      </c>
      <c r="H422" s="6">
        <f>H423</f>
        <v>0</v>
      </c>
    </row>
    <row r="423" spans="1:8" s="26" customFormat="1" ht="25.5" customHeight="1" x14ac:dyDescent="0.2">
      <c r="A423" s="28" t="s">
        <v>119</v>
      </c>
      <c r="B423" s="24" t="s">
        <v>20</v>
      </c>
      <c r="C423" s="24" t="s">
        <v>11</v>
      </c>
      <c r="D423" s="24" t="s">
        <v>134</v>
      </c>
      <c r="E423" s="24" t="s">
        <v>63</v>
      </c>
      <c r="F423" s="25">
        <f>' первое чтение вед стр-ра'!G121</f>
        <v>165</v>
      </c>
      <c r="G423" s="25">
        <f>' первое чтение вед стр-ра'!H121</f>
        <v>0</v>
      </c>
      <c r="H423" s="25">
        <f>' первое чтение вед стр-ра'!I121</f>
        <v>0</v>
      </c>
    </row>
    <row r="424" spans="1:8" s="21" customFormat="1" ht="13.5" customHeight="1" x14ac:dyDescent="0.2">
      <c r="A424" s="18" t="s">
        <v>144</v>
      </c>
      <c r="B424" s="19" t="s">
        <v>20</v>
      </c>
      <c r="C424" s="19" t="s">
        <v>11</v>
      </c>
      <c r="D424" s="24" t="s">
        <v>143</v>
      </c>
      <c r="E424" s="19"/>
      <c r="F424" s="20">
        <f>F425</f>
        <v>4137.2</v>
      </c>
      <c r="G424" s="20">
        <f>G425</f>
        <v>0</v>
      </c>
      <c r="H424" s="20">
        <f>H425</f>
        <v>0</v>
      </c>
    </row>
    <row r="425" spans="1:8" s="26" customFormat="1" ht="25.5" customHeight="1" x14ac:dyDescent="0.2">
      <c r="A425" s="28" t="s">
        <v>80</v>
      </c>
      <c r="B425" s="24" t="s">
        <v>20</v>
      </c>
      <c r="C425" s="24" t="s">
        <v>11</v>
      </c>
      <c r="D425" s="24" t="s">
        <v>143</v>
      </c>
      <c r="E425" s="24" t="s">
        <v>69</v>
      </c>
      <c r="F425" s="25">
        <f>' первое чтение вед стр-ра'!G123</f>
        <v>4137.2</v>
      </c>
      <c r="G425" s="25">
        <f>' первое чтение вед стр-ра'!H123</f>
        <v>0</v>
      </c>
      <c r="H425" s="25">
        <f>' первое чтение вед стр-ра'!I123</f>
        <v>0</v>
      </c>
    </row>
    <row r="426" spans="1:8" s="71" customFormat="1" ht="25.5" customHeight="1" x14ac:dyDescent="0.2">
      <c r="A426" s="67" t="s">
        <v>159</v>
      </c>
      <c r="B426" s="69" t="s">
        <v>20</v>
      </c>
      <c r="C426" s="69" t="s">
        <v>11</v>
      </c>
      <c r="D426" s="69" t="s">
        <v>158</v>
      </c>
      <c r="E426" s="69"/>
      <c r="F426" s="70">
        <f>F427</f>
        <v>15625.1</v>
      </c>
      <c r="G426" s="70">
        <f>G427</f>
        <v>14556.2</v>
      </c>
      <c r="H426" s="70">
        <f>H427</f>
        <v>14078.7</v>
      </c>
    </row>
    <row r="427" spans="1:8" s="76" customFormat="1" ht="25.5" customHeight="1" x14ac:dyDescent="0.2">
      <c r="A427" s="79" t="s">
        <v>119</v>
      </c>
      <c r="B427" s="74" t="s">
        <v>20</v>
      </c>
      <c r="C427" s="74" t="s">
        <v>11</v>
      </c>
      <c r="D427" s="74" t="s">
        <v>158</v>
      </c>
      <c r="E427" s="74" t="s">
        <v>63</v>
      </c>
      <c r="F427" s="54">
        <f>' первое чтение вед стр-ра'!G125</f>
        <v>15625.1</v>
      </c>
      <c r="G427" s="54">
        <f>' первое чтение вед стр-ра'!H125</f>
        <v>14556.2</v>
      </c>
      <c r="H427" s="54">
        <f>' первое чтение вед стр-ра'!I125</f>
        <v>14078.7</v>
      </c>
    </row>
    <row r="428" spans="1:8" s="21" customFormat="1" ht="38.25" customHeight="1" x14ac:dyDescent="0.2">
      <c r="A428" s="18" t="s">
        <v>161</v>
      </c>
      <c r="B428" s="19" t="s">
        <v>20</v>
      </c>
      <c r="C428" s="19" t="s">
        <v>11</v>
      </c>
      <c r="D428" s="19" t="s">
        <v>160</v>
      </c>
      <c r="E428" s="19"/>
      <c r="F428" s="20">
        <f>F429</f>
        <v>150</v>
      </c>
      <c r="G428" s="20">
        <f>G429</f>
        <v>0</v>
      </c>
      <c r="H428" s="20">
        <f>H429</f>
        <v>0</v>
      </c>
    </row>
    <row r="429" spans="1:8" s="26" customFormat="1" ht="25.5" customHeight="1" x14ac:dyDescent="0.2">
      <c r="A429" s="28" t="s">
        <v>74</v>
      </c>
      <c r="B429" s="24" t="s">
        <v>20</v>
      </c>
      <c r="C429" s="24" t="s">
        <v>11</v>
      </c>
      <c r="D429" s="24" t="s">
        <v>160</v>
      </c>
      <c r="E429" s="27" t="s">
        <v>66</v>
      </c>
      <c r="F429" s="25">
        <f>' первое чтение вед стр-ра'!G127</f>
        <v>150</v>
      </c>
      <c r="G429" s="25">
        <f>' первое чтение вед стр-ра'!H127</f>
        <v>0</v>
      </c>
      <c r="H429" s="25">
        <f>' первое чтение вед стр-ра'!I127</f>
        <v>0</v>
      </c>
    </row>
    <row r="430" spans="1:8" s="21" customFormat="1" ht="25.5" customHeight="1" x14ac:dyDescent="0.2">
      <c r="A430" s="18" t="s">
        <v>292</v>
      </c>
      <c r="B430" s="19" t="s">
        <v>20</v>
      </c>
      <c r="C430" s="19" t="s">
        <v>11</v>
      </c>
      <c r="D430" s="19" t="s">
        <v>293</v>
      </c>
      <c r="E430" s="19"/>
      <c r="F430" s="20">
        <f>F431</f>
        <v>47475.4</v>
      </c>
      <c r="G430" s="20">
        <f>G431</f>
        <v>46327.7</v>
      </c>
      <c r="H430" s="20">
        <f>H431</f>
        <v>45850.3</v>
      </c>
    </row>
    <row r="431" spans="1:8" s="76" customFormat="1" ht="25.5" customHeight="1" x14ac:dyDescent="0.2">
      <c r="A431" s="79" t="s">
        <v>119</v>
      </c>
      <c r="B431" s="74" t="s">
        <v>20</v>
      </c>
      <c r="C431" s="74" t="s">
        <v>11</v>
      </c>
      <c r="D431" s="74" t="s">
        <v>293</v>
      </c>
      <c r="E431" s="75" t="s">
        <v>63</v>
      </c>
      <c r="F431" s="54">
        <f>' первое чтение вед стр-ра'!G129</f>
        <v>47475.4</v>
      </c>
      <c r="G431" s="54">
        <f>' первое чтение вед стр-ра'!H129</f>
        <v>46327.7</v>
      </c>
      <c r="H431" s="54">
        <f>' первое чтение вед стр-ра'!I129</f>
        <v>45850.3</v>
      </c>
    </row>
    <row r="432" spans="1:8" s="76" customFormat="1" ht="25.5" customHeight="1" x14ac:dyDescent="0.2">
      <c r="A432" s="18" t="s">
        <v>292</v>
      </c>
      <c r="B432" s="19" t="s">
        <v>20</v>
      </c>
      <c r="C432" s="19" t="s">
        <v>11</v>
      </c>
      <c r="D432" s="19" t="s">
        <v>562</v>
      </c>
      <c r="E432" s="19"/>
      <c r="F432" s="54">
        <f>F433</f>
        <v>15640.6</v>
      </c>
      <c r="G432" s="54">
        <f t="shared" ref="G432:H432" si="93">G433</f>
        <v>13367.8</v>
      </c>
      <c r="H432" s="54">
        <f t="shared" si="93"/>
        <v>13367.8</v>
      </c>
    </row>
    <row r="433" spans="1:8" s="76" customFormat="1" ht="25.5" customHeight="1" x14ac:dyDescent="0.2">
      <c r="A433" s="79" t="s">
        <v>119</v>
      </c>
      <c r="B433" s="74" t="s">
        <v>20</v>
      </c>
      <c r="C433" s="74" t="s">
        <v>11</v>
      </c>
      <c r="D433" s="74" t="s">
        <v>562</v>
      </c>
      <c r="E433" s="75" t="s">
        <v>63</v>
      </c>
      <c r="F433" s="54">
        <f>' первое чтение вед стр-ра'!G322</f>
        <v>15640.6</v>
      </c>
      <c r="G433" s="54">
        <f>' первое чтение вед стр-ра'!H322</f>
        <v>13367.8</v>
      </c>
      <c r="H433" s="54">
        <f>' первое чтение вед стр-ра'!I322</f>
        <v>13367.8</v>
      </c>
    </row>
    <row r="434" spans="1:8" s="9" customFormat="1" ht="12.75" customHeight="1" x14ac:dyDescent="0.2">
      <c r="A434" s="11" t="s">
        <v>2</v>
      </c>
      <c r="B434" s="8" t="s">
        <v>20</v>
      </c>
      <c r="C434" s="8" t="s">
        <v>13</v>
      </c>
      <c r="D434" s="8"/>
      <c r="E434" s="8"/>
      <c r="F434" s="4">
        <f t="shared" ref="F434:H434" si="94">F435</f>
        <v>360</v>
      </c>
      <c r="G434" s="4">
        <f t="shared" si="94"/>
        <v>0</v>
      </c>
      <c r="H434" s="4">
        <f t="shared" si="94"/>
        <v>0</v>
      </c>
    </row>
    <row r="435" spans="1:8" s="21" customFormat="1" ht="25.5" customHeight="1" x14ac:dyDescent="0.2">
      <c r="A435" s="18" t="s">
        <v>163</v>
      </c>
      <c r="B435" s="19" t="s">
        <v>20</v>
      </c>
      <c r="C435" s="19" t="s">
        <v>13</v>
      </c>
      <c r="D435" s="19" t="s">
        <v>162</v>
      </c>
      <c r="E435" s="19"/>
      <c r="F435" s="20">
        <f>' первое чтение вед стр-ра'!G131</f>
        <v>360</v>
      </c>
      <c r="G435" s="20">
        <f>' первое чтение вед стр-ра'!H131</f>
        <v>0</v>
      </c>
      <c r="H435" s="20">
        <f>' первое чтение вед стр-ра'!I131</f>
        <v>0</v>
      </c>
    </row>
    <row r="436" spans="1:8" s="21" customFormat="1" ht="51" customHeight="1" x14ac:dyDescent="0.2">
      <c r="A436" s="30" t="s">
        <v>64</v>
      </c>
      <c r="B436" s="24" t="s">
        <v>20</v>
      </c>
      <c r="C436" s="24" t="s">
        <v>13</v>
      </c>
      <c r="D436" s="24" t="s">
        <v>162</v>
      </c>
      <c r="E436" s="19" t="s">
        <v>65</v>
      </c>
      <c r="F436" s="20">
        <f>' первое чтение вед стр-ра'!G132</f>
        <v>50</v>
      </c>
      <c r="G436" s="20">
        <f>' первое чтение вед стр-ра'!H132</f>
        <v>0</v>
      </c>
      <c r="H436" s="20">
        <f>' первое чтение вед стр-ра'!I132</f>
        <v>0</v>
      </c>
    </row>
    <row r="437" spans="1:8" s="26" customFormat="1" ht="25.5" customHeight="1" x14ac:dyDescent="0.2">
      <c r="A437" s="28" t="s">
        <v>74</v>
      </c>
      <c r="B437" s="24" t="s">
        <v>20</v>
      </c>
      <c r="C437" s="24" t="s">
        <v>13</v>
      </c>
      <c r="D437" s="24" t="s">
        <v>162</v>
      </c>
      <c r="E437" s="27" t="s">
        <v>66</v>
      </c>
      <c r="F437" s="25">
        <f>' первое чтение вед стр-ра'!G133</f>
        <v>310</v>
      </c>
      <c r="G437" s="25">
        <f>' первое чтение вед стр-ра'!H133</f>
        <v>0</v>
      </c>
      <c r="H437" s="25">
        <f>' первое чтение вед стр-ра'!I133</f>
        <v>0</v>
      </c>
    </row>
    <row r="438" spans="1:8" s="9" customFormat="1" ht="12.75" customHeight="1" x14ac:dyDescent="0.2">
      <c r="A438" s="11" t="s">
        <v>4</v>
      </c>
      <c r="B438" s="8" t="s">
        <v>20</v>
      </c>
      <c r="C438" s="8" t="s">
        <v>29</v>
      </c>
      <c r="D438" s="8"/>
      <c r="E438" s="8"/>
      <c r="F438" s="4">
        <f>F439+F442</f>
        <v>4686.6000000000004</v>
      </c>
      <c r="G438" s="4">
        <f>G439+G442</f>
        <v>4581.6000000000004</v>
      </c>
      <c r="H438" s="4">
        <f>H439+H442</f>
        <v>4581.6000000000004</v>
      </c>
    </row>
    <row r="439" spans="1:8" s="21" customFormat="1" ht="25.5" customHeight="1" x14ac:dyDescent="0.2">
      <c r="A439" s="18" t="s">
        <v>159</v>
      </c>
      <c r="B439" s="19" t="s">
        <v>20</v>
      </c>
      <c r="C439" s="19" t="s">
        <v>29</v>
      </c>
      <c r="D439" s="19" t="s">
        <v>164</v>
      </c>
      <c r="E439" s="19"/>
      <c r="F439" s="20">
        <f>F440+F441</f>
        <v>1263.3</v>
      </c>
      <c r="G439" s="20">
        <f>G440+G441</f>
        <v>1258.3</v>
      </c>
      <c r="H439" s="20">
        <f>H440+H441</f>
        <v>1258.3</v>
      </c>
    </row>
    <row r="440" spans="1:8" s="26" customFormat="1" ht="50.25" customHeight="1" x14ac:dyDescent="0.2">
      <c r="A440" s="30" t="s">
        <v>64</v>
      </c>
      <c r="B440" s="24" t="s">
        <v>20</v>
      </c>
      <c r="C440" s="24" t="s">
        <v>29</v>
      </c>
      <c r="D440" s="24" t="s">
        <v>164</v>
      </c>
      <c r="E440" s="27" t="s">
        <v>65</v>
      </c>
      <c r="F440" s="25">
        <f>' первое чтение вед стр-ра'!G136</f>
        <v>1186.8</v>
      </c>
      <c r="G440" s="25">
        <f>' первое чтение вед стр-ра'!H136</f>
        <v>1186.8</v>
      </c>
      <c r="H440" s="25">
        <f>' первое чтение вед стр-ра'!I136</f>
        <v>1186.8</v>
      </c>
    </row>
    <row r="441" spans="1:8" s="26" customFormat="1" ht="25.5" customHeight="1" x14ac:dyDescent="0.2">
      <c r="A441" s="28" t="s">
        <v>74</v>
      </c>
      <c r="B441" s="24" t="s">
        <v>20</v>
      </c>
      <c r="C441" s="24" t="s">
        <v>29</v>
      </c>
      <c r="D441" s="24" t="s">
        <v>164</v>
      </c>
      <c r="E441" s="27" t="s">
        <v>66</v>
      </c>
      <c r="F441" s="25">
        <f>' первое чтение вед стр-ра'!G137</f>
        <v>76.5</v>
      </c>
      <c r="G441" s="25">
        <f>' первое чтение вед стр-ра'!H137</f>
        <v>71.5</v>
      </c>
      <c r="H441" s="25">
        <f>' первое чтение вед стр-ра'!I137</f>
        <v>71.5</v>
      </c>
    </row>
    <row r="442" spans="1:8" s="21" customFormat="1" ht="25.5" customHeight="1" x14ac:dyDescent="0.2">
      <c r="A442" s="18" t="s">
        <v>159</v>
      </c>
      <c r="B442" s="19" t="s">
        <v>20</v>
      </c>
      <c r="C442" s="19" t="s">
        <v>29</v>
      </c>
      <c r="D442" s="19" t="s">
        <v>321</v>
      </c>
      <c r="E442" s="19"/>
      <c r="F442" s="20">
        <f>F443</f>
        <v>3423.3</v>
      </c>
      <c r="G442" s="20">
        <f>G443</f>
        <v>3323.3</v>
      </c>
      <c r="H442" s="20">
        <f>H443</f>
        <v>3323.3</v>
      </c>
    </row>
    <row r="443" spans="1:8" s="26" customFormat="1" ht="27.75" customHeight="1" x14ac:dyDescent="0.2">
      <c r="A443" s="79" t="s">
        <v>119</v>
      </c>
      <c r="B443" s="24" t="s">
        <v>20</v>
      </c>
      <c r="C443" s="24" t="s">
        <v>29</v>
      </c>
      <c r="D443" s="24" t="s">
        <v>321</v>
      </c>
      <c r="E443" s="27" t="s">
        <v>63</v>
      </c>
      <c r="F443" s="25">
        <f>' первое чтение вед стр-ра'!G139</f>
        <v>3423.3</v>
      </c>
      <c r="G443" s="25">
        <f>' первое чтение вед стр-ра'!H139</f>
        <v>3323.3</v>
      </c>
      <c r="H443" s="25">
        <f>' первое чтение вед стр-ра'!I139</f>
        <v>3323.3</v>
      </c>
    </row>
    <row r="444" spans="1:8" s="134" customFormat="1" ht="27.75" customHeight="1" x14ac:dyDescent="0.25">
      <c r="A444" s="121" t="s">
        <v>571</v>
      </c>
      <c r="B444" s="120" t="s">
        <v>22</v>
      </c>
      <c r="C444" s="120" t="s">
        <v>352</v>
      </c>
      <c r="D444" s="120"/>
      <c r="E444" s="203"/>
      <c r="F444" s="175">
        <f>F446</f>
        <v>1351.6</v>
      </c>
      <c r="G444" s="175">
        <f t="shared" ref="G444:H444" si="95">G446</f>
        <v>0</v>
      </c>
      <c r="H444" s="175">
        <f t="shared" si="95"/>
        <v>0</v>
      </c>
    </row>
    <row r="445" spans="1:8" s="207" customFormat="1" ht="21" customHeight="1" x14ac:dyDescent="0.25">
      <c r="A445" s="67" t="s">
        <v>572</v>
      </c>
      <c r="B445" s="204" t="s">
        <v>22</v>
      </c>
      <c r="C445" s="204" t="s">
        <v>13</v>
      </c>
      <c r="D445" s="204"/>
      <c r="E445" s="205"/>
      <c r="F445" s="206">
        <f>F446</f>
        <v>1351.6</v>
      </c>
      <c r="G445" s="206">
        <f t="shared" ref="G445:H445" si="96">G446</f>
        <v>0</v>
      </c>
      <c r="H445" s="206">
        <f t="shared" si="96"/>
        <v>0</v>
      </c>
    </row>
    <row r="446" spans="1:8" ht="41.25" customHeight="1" x14ac:dyDescent="0.2">
      <c r="A446" s="67" t="s">
        <v>568</v>
      </c>
      <c r="B446" s="19" t="s">
        <v>22</v>
      </c>
      <c r="C446" s="19" t="s">
        <v>13</v>
      </c>
      <c r="D446" s="19" t="s">
        <v>573</v>
      </c>
      <c r="E446" s="196"/>
      <c r="F446" s="20">
        <f>F447</f>
        <v>1351.6</v>
      </c>
      <c r="G446" s="20">
        <f t="shared" ref="G446:H446" si="97">G447</f>
        <v>0</v>
      </c>
      <c r="H446" s="20">
        <f t="shared" si="97"/>
        <v>0</v>
      </c>
    </row>
    <row r="447" spans="1:8" s="26" customFormat="1" ht="25.5" customHeight="1" x14ac:dyDescent="0.2">
      <c r="A447" s="79" t="s">
        <v>70</v>
      </c>
      <c r="B447" s="24" t="s">
        <v>22</v>
      </c>
      <c r="C447" s="24" t="s">
        <v>13</v>
      </c>
      <c r="D447" s="24" t="s">
        <v>569</v>
      </c>
      <c r="E447" s="27" t="s">
        <v>71</v>
      </c>
      <c r="F447" s="25">
        <f>' первое чтение вед стр-ра'!G108</f>
        <v>1351.6</v>
      </c>
      <c r="G447" s="25">
        <f>' первое чтение вед стр-ра'!H108</f>
        <v>0</v>
      </c>
      <c r="H447" s="25">
        <f>' первое чтение вед стр-ра'!I108</f>
        <v>0</v>
      </c>
    </row>
    <row r="448" spans="1:8" s="21" customFormat="1" ht="31.5" customHeight="1" x14ac:dyDescent="0.25">
      <c r="A448" s="121" t="s">
        <v>19</v>
      </c>
      <c r="B448" s="120" t="s">
        <v>59</v>
      </c>
      <c r="C448" s="120" t="s">
        <v>352</v>
      </c>
      <c r="D448" s="120"/>
      <c r="E448" s="120"/>
      <c r="F448" s="175">
        <f>F449</f>
        <v>2136.1</v>
      </c>
      <c r="G448" s="175">
        <f t="shared" ref="G448:H450" si="98">G449</f>
        <v>2123</v>
      </c>
      <c r="H448" s="175">
        <f t="shared" si="98"/>
        <v>2105</v>
      </c>
    </row>
    <row r="449" spans="1:8" s="21" customFormat="1" ht="25.5" customHeight="1" x14ac:dyDescent="0.2">
      <c r="A449" s="11" t="s">
        <v>3</v>
      </c>
      <c r="B449" s="8" t="s">
        <v>59</v>
      </c>
      <c r="C449" s="8" t="s">
        <v>11</v>
      </c>
      <c r="D449" s="8"/>
      <c r="E449" s="8"/>
      <c r="F449" s="4">
        <f>F450</f>
        <v>2136.1</v>
      </c>
      <c r="G449" s="4">
        <f t="shared" si="98"/>
        <v>2123</v>
      </c>
      <c r="H449" s="4">
        <f t="shared" si="98"/>
        <v>2105</v>
      </c>
    </row>
    <row r="450" spans="1:8" s="21" customFormat="1" ht="25.5" customHeight="1" x14ac:dyDescent="0.2">
      <c r="A450" s="18" t="s">
        <v>155</v>
      </c>
      <c r="B450" s="19" t="s">
        <v>59</v>
      </c>
      <c r="C450" s="19" t="s">
        <v>11</v>
      </c>
      <c r="D450" s="19" t="s">
        <v>154</v>
      </c>
      <c r="E450" s="19"/>
      <c r="F450" s="20">
        <f>F451</f>
        <v>2136.1</v>
      </c>
      <c r="G450" s="20">
        <f t="shared" si="98"/>
        <v>2123</v>
      </c>
      <c r="H450" s="20">
        <f t="shared" si="98"/>
        <v>2105</v>
      </c>
    </row>
    <row r="451" spans="1:8" s="21" customFormat="1" ht="12.75" customHeight="1" x14ac:dyDescent="0.2">
      <c r="A451" s="28" t="s">
        <v>72</v>
      </c>
      <c r="B451" s="24" t="s">
        <v>59</v>
      </c>
      <c r="C451" s="24" t="s">
        <v>11</v>
      </c>
      <c r="D451" s="24" t="s">
        <v>154</v>
      </c>
      <c r="E451" s="24" t="s">
        <v>73</v>
      </c>
      <c r="F451" s="25">
        <f>' первое чтение вед стр-ра'!G112</f>
        <v>2136.1</v>
      </c>
      <c r="G451" s="25">
        <f>' первое чтение вед стр-ра'!H112</f>
        <v>2123</v>
      </c>
      <c r="H451" s="25">
        <f>' первое чтение вед стр-ра'!I112</f>
        <v>2105</v>
      </c>
    </row>
    <row r="452" spans="1:8" s="21" customFormat="1" x14ac:dyDescent="0.2">
      <c r="A452" s="18" t="s">
        <v>298</v>
      </c>
      <c r="B452" s="19" t="s">
        <v>299</v>
      </c>
      <c r="C452" s="19"/>
      <c r="D452" s="19"/>
      <c r="E452" s="19"/>
      <c r="F452" s="20"/>
      <c r="G452" s="20">
        <f t="shared" ref="G452:H454" si="99">G453</f>
        <v>23132.9</v>
      </c>
      <c r="H452" s="20">
        <f t="shared" si="99"/>
        <v>44191.199999999997</v>
      </c>
    </row>
    <row r="453" spans="1:8" s="21" customFormat="1" x14ac:dyDescent="0.2">
      <c r="A453" s="18" t="s">
        <v>298</v>
      </c>
      <c r="B453" s="19" t="s">
        <v>299</v>
      </c>
      <c r="C453" s="16" t="s">
        <v>299</v>
      </c>
      <c r="D453" s="19"/>
      <c r="E453" s="19"/>
      <c r="F453" s="20"/>
      <c r="G453" s="20">
        <f t="shared" si="99"/>
        <v>23132.9</v>
      </c>
      <c r="H453" s="20">
        <f t="shared" si="99"/>
        <v>44191.199999999997</v>
      </c>
    </row>
    <row r="454" spans="1:8" s="21" customFormat="1" x14ac:dyDescent="0.2">
      <c r="A454" s="18" t="s">
        <v>298</v>
      </c>
      <c r="B454" s="19" t="s">
        <v>299</v>
      </c>
      <c r="C454" s="16" t="s">
        <v>299</v>
      </c>
      <c r="D454" s="19" t="s">
        <v>300</v>
      </c>
      <c r="E454" s="19"/>
      <c r="F454" s="20"/>
      <c r="G454" s="20">
        <f t="shared" si="99"/>
        <v>23132.9</v>
      </c>
      <c r="H454" s="20">
        <f t="shared" si="99"/>
        <v>44191.199999999997</v>
      </c>
    </row>
    <row r="455" spans="1:8" s="26" customFormat="1" x14ac:dyDescent="0.2">
      <c r="A455" s="28" t="s">
        <v>298</v>
      </c>
      <c r="B455" s="19" t="s">
        <v>299</v>
      </c>
      <c r="C455" s="16" t="s">
        <v>299</v>
      </c>
      <c r="D455" s="19" t="s">
        <v>300</v>
      </c>
      <c r="E455" s="24" t="s">
        <v>71</v>
      </c>
      <c r="F455" s="25"/>
      <c r="G455" s="25">
        <f>' первое чтение вед стр-ра'!H116</f>
        <v>23132.9</v>
      </c>
      <c r="H455" s="25">
        <f>' первое чтение вед стр-ра'!I116</f>
        <v>44191.199999999997</v>
      </c>
    </row>
    <row r="456" spans="1:8" s="21" customFormat="1" ht="15.75" customHeight="1" x14ac:dyDescent="0.25">
      <c r="A456" s="121" t="s">
        <v>56</v>
      </c>
      <c r="B456" s="120"/>
      <c r="C456" s="120"/>
      <c r="D456" s="120"/>
      <c r="E456" s="120"/>
      <c r="F456" s="175">
        <f>F448+F420+F308+F284+F188+F137+F104+F94+F10+F444</f>
        <v>2592433.0999999996</v>
      </c>
      <c r="G456" s="175">
        <f>G448+G420+G308+G284+G188+G137+G104+G94+G10+G452</f>
        <v>2211944.5999999996</v>
      </c>
      <c r="H456" s="175">
        <f>H448+H420+H308+H284+H188+H137+H104+H94+H10+H452</f>
        <v>2181581.0000000005</v>
      </c>
    </row>
    <row r="457" spans="1:8" s="21" customFormat="1" ht="15" customHeight="1" x14ac:dyDescent="0.2">
      <c r="A457" s="178" t="s">
        <v>535</v>
      </c>
      <c r="B457" s="179"/>
      <c r="C457" s="179"/>
      <c r="D457" s="179"/>
      <c r="E457" s="179"/>
      <c r="F457" s="180">
        <v>33718.699999999997</v>
      </c>
      <c r="G457" s="180">
        <v>32866</v>
      </c>
      <c r="H457" s="180">
        <v>32783.5</v>
      </c>
    </row>
    <row r="458" spans="1:8" s="21" customFormat="1" ht="0.75" customHeight="1" x14ac:dyDescent="0.2">
      <c r="A458" s="181"/>
      <c r="B458" s="182"/>
      <c r="C458" s="182"/>
      <c r="D458" s="182"/>
      <c r="E458" s="182"/>
      <c r="F458" s="183">
        <f>F456-[1]первоначальный!$G$603</f>
        <v>85384.699999999721</v>
      </c>
      <c r="G458" s="183">
        <f>G456-[1]первоначальный!$H$603</f>
        <v>-29831.600000000559</v>
      </c>
      <c r="H458" s="183">
        <f>H456-[1]первоначальный!$I$603</f>
        <v>-29740.599999999627</v>
      </c>
    </row>
    <row r="459" spans="1:8" ht="16.5" customHeight="1" x14ac:dyDescent="0.2">
      <c r="A459" s="181"/>
      <c r="B459" s="182"/>
      <c r="C459" s="182"/>
      <c r="D459" s="182"/>
      <c r="E459" s="182"/>
      <c r="F459" s="112"/>
      <c r="G459" s="112"/>
      <c r="H459" s="112"/>
    </row>
    <row r="460" spans="1:8" ht="5.25" customHeight="1" x14ac:dyDescent="0.2">
      <c r="A460" s="181"/>
      <c r="B460" s="182"/>
      <c r="C460" s="182"/>
      <c r="D460" s="182"/>
      <c r="E460" s="182"/>
      <c r="F460" s="188"/>
      <c r="G460" s="188"/>
      <c r="H460" s="188"/>
    </row>
    <row r="461" spans="1:8" ht="24" customHeight="1" x14ac:dyDescent="0.2">
      <c r="A461" s="113" t="s">
        <v>62</v>
      </c>
      <c r="B461" s="221"/>
      <c r="C461" s="221"/>
      <c r="D461" s="221"/>
      <c r="E461" s="221"/>
      <c r="F461" s="112"/>
      <c r="G461" s="114"/>
      <c r="H461" s="114" t="s">
        <v>575</v>
      </c>
    </row>
    <row r="463" spans="1:8" x14ac:dyDescent="0.2">
      <c r="F463" s="117">
        <f>F456-' первое чтение вед стр-ра'!G513</f>
        <v>0</v>
      </c>
      <c r="G463" s="112">
        <f>G456-' первое чтение вед стр-ра'!H513</f>
        <v>0</v>
      </c>
      <c r="H463" s="112">
        <f>H456-' первое чтение вед стр-ра'!I513</f>
        <v>0</v>
      </c>
    </row>
    <row r="464" spans="1:8" x14ac:dyDescent="0.2">
      <c r="F464" s="112"/>
      <c r="G464" s="112"/>
      <c r="H464" s="112"/>
    </row>
    <row r="465" spans="2:8" x14ac:dyDescent="0.2">
      <c r="F465" s="112"/>
      <c r="G465" s="112"/>
      <c r="H465" s="112"/>
    </row>
    <row r="467" spans="2:8" x14ac:dyDescent="0.2">
      <c r="F467" s="112"/>
      <c r="G467" s="112"/>
      <c r="H467" s="112"/>
    </row>
    <row r="472" spans="2:8" x14ac:dyDescent="0.2">
      <c r="B472" s="194"/>
      <c r="C472" s="194"/>
      <c r="D472" s="194"/>
      <c r="E472" s="194"/>
      <c r="F472" s="194"/>
      <c r="G472" s="194"/>
      <c r="H472" s="194"/>
    </row>
    <row r="473" spans="2:8" x14ac:dyDescent="0.2">
      <c r="B473" s="194"/>
      <c r="C473" s="194"/>
      <c r="D473" s="194"/>
      <c r="E473" s="194"/>
      <c r="F473" s="194"/>
      <c r="G473" s="194"/>
      <c r="H473" s="194"/>
    </row>
    <row r="474" spans="2:8" x14ac:dyDescent="0.2">
      <c r="B474" s="194"/>
      <c r="C474" s="194"/>
      <c r="D474" s="194"/>
      <c r="E474" s="194"/>
      <c r="F474" s="194"/>
      <c r="G474" s="194"/>
      <c r="H474" s="194"/>
    </row>
    <row r="475" spans="2:8" x14ac:dyDescent="0.2">
      <c r="B475" s="194"/>
      <c r="C475" s="194"/>
      <c r="D475" s="194"/>
      <c r="E475" s="194"/>
      <c r="F475" s="194"/>
      <c r="G475" s="194"/>
      <c r="H475" s="194"/>
    </row>
    <row r="476" spans="2:8" x14ac:dyDescent="0.2">
      <c r="B476" s="194"/>
      <c r="C476" s="194"/>
      <c r="D476" s="194"/>
      <c r="E476" s="194"/>
      <c r="F476" s="194"/>
      <c r="G476" s="194"/>
      <c r="H476" s="194"/>
    </row>
    <row r="477" spans="2:8" x14ac:dyDescent="0.2">
      <c r="B477" s="194"/>
      <c r="C477" s="194"/>
      <c r="D477" s="194"/>
      <c r="E477" s="194"/>
      <c r="F477" s="194"/>
      <c r="G477" s="194"/>
      <c r="H477" s="194"/>
    </row>
    <row r="478" spans="2:8" x14ac:dyDescent="0.2">
      <c r="B478" s="194"/>
      <c r="C478" s="194"/>
      <c r="D478" s="194"/>
      <c r="E478" s="194"/>
      <c r="F478" s="194"/>
      <c r="G478" s="194"/>
      <c r="H478" s="194"/>
    </row>
    <row r="479" spans="2:8" x14ac:dyDescent="0.2">
      <c r="B479" s="194"/>
      <c r="C479" s="194"/>
      <c r="D479" s="194"/>
      <c r="E479" s="194"/>
      <c r="F479" s="194"/>
      <c r="G479" s="194"/>
      <c r="H479" s="194"/>
    </row>
    <row r="480" spans="2:8" x14ac:dyDescent="0.2">
      <c r="B480" s="194"/>
      <c r="C480" s="194"/>
      <c r="D480" s="194"/>
      <c r="E480" s="194"/>
      <c r="F480" s="194"/>
      <c r="G480" s="194"/>
      <c r="H480" s="194"/>
    </row>
    <row r="481" spans="2:8" x14ac:dyDescent="0.2">
      <c r="B481" s="194"/>
      <c r="C481" s="194"/>
      <c r="D481" s="194"/>
      <c r="E481" s="194"/>
      <c r="F481" s="194"/>
      <c r="G481" s="194"/>
      <c r="H481" s="194"/>
    </row>
    <row r="482" spans="2:8" x14ac:dyDescent="0.2">
      <c r="B482" s="194"/>
      <c r="C482" s="194"/>
      <c r="D482" s="194"/>
      <c r="E482" s="194"/>
      <c r="F482" s="194"/>
      <c r="G482" s="194"/>
      <c r="H482" s="194"/>
    </row>
    <row r="483" spans="2:8" x14ac:dyDescent="0.2">
      <c r="B483" s="194"/>
      <c r="C483" s="194"/>
      <c r="D483" s="194"/>
      <c r="E483" s="194"/>
      <c r="F483" s="194"/>
      <c r="G483" s="194"/>
      <c r="H483" s="194"/>
    </row>
    <row r="484" spans="2:8" x14ac:dyDescent="0.2">
      <c r="B484" s="194"/>
      <c r="C484" s="194"/>
      <c r="D484" s="194"/>
      <c r="E484" s="194"/>
      <c r="F484" s="194"/>
      <c r="G484" s="194"/>
      <c r="H484" s="194"/>
    </row>
    <row r="485" spans="2:8" x14ac:dyDescent="0.2">
      <c r="B485" s="194"/>
      <c r="C485" s="194"/>
      <c r="D485" s="194"/>
      <c r="E485" s="194"/>
      <c r="F485" s="194"/>
      <c r="G485" s="194"/>
      <c r="H485" s="194"/>
    </row>
    <row r="486" spans="2:8" x14ac:dyDescent="0.2">
      <c r="B486" s="194"/>
      <c r="C486" s="194"/>
      <c r="D486" s="194"/>
      <c r="E486" s="194"/>
      <c r="F486" s="194"/>
      <c r="G486" s="194"/>
      <c r="H486" s="194"/>
    </row>
    <row r="487" spans="2:8" x14ac:dyDescent="0.2">
      <c r="B487" s="194"/>
      <c r="C487" s="194"/>
      <c r="D487" s="194"/>
      <c r="E487" s="194"/>
      <c r="F487" s="194"/>
      <c r="G487" s="194"/>
      <c r="H487" s="194"/>
    </row>
    <row r="488" spans="2:8" x14ac:dyDescent="0.2">
      <c r="B488" s="194"/>
      <c r="C488" s="194"/>
      <c r="D488" s="194"/>
      <c r="E488" s="194"/>
      <c r="F488" s="194"/>
      <c r="G488" s="194"/>
      <c r="H488" s="194"/>
    </row>
    <row r="489" spans="2:8" x14ac:dyDescent="0.2">
      <c r="B489" s="194"/>
      <c r="C489" s="194"/>
      <c r="D489" s="194"/>
      <c r="E489" s="194"/>
      <c r="F489" s="194"/>
      <c r="G489" s="194"/>
      <c r="H489" s="194"/>
    </row>
    <row r="490" spans="2:8" x14ac:dyDescent="0.2">
      <c r="B490" s="194"/>
      <c r="C490" s="194"/>
      <c r="D490" s="194"/>
      <c r="E490" s="194"/>
      <c r="F490" s="194"/>
      <c r="G490" s="194"/>
      <c r="H490" s="194"/>
    </row>
    <row r="491" spans="2:8" x14ac:dyDescent="0.2">
      <c r="B491" s="194"/>
      <c r="C491" s="194"/>
      <c r="D491" s="194"/>
      <c r="E491" s="194"/>
      <c r="F491" s="194"/>
      <c r="G491" s="194"/>
      <c r="H491" s="194"/>
    </row>
    <row r="492" spans="2:8" x14ac:dyDescent="0.2">
      <c r="B492" s="194"/>
      <c r="C492" s="194"/>
      <c r="D492" s="194"/>
      <c r="E492" s="194"/>
      <c r="F492" s="194"/>
      <c r="G492" s="194"/>
      <c r="H492" s="194"/>
    </row>
    <row r="493" spans="2:8" x14ac:dyDescent="0.2">
      <c r="B493" s="194"/>
      <c r="C493" s="194"/>
      <c r="D493" s="194"/>
      <c r="E493" s="194"/>
      <c r="F493" s="194"/>
      <c r="G493" s="194"/>
      <c r="H493" s="194"/>
    </row>
    <row r="494" spans="2:8" x14ac:dyDescent="0.2">
      <c r="B494" s="194"/>
      <c r="C494" s="194"/>
      <c r="D494" s="194"/>
      <c r="E494" s="194"/>
      <c r="F494" s="194"/>
      <c r="G494" s="194"/>
      <c r="H494" s="194"/>
    </row>
    <row r="495" spans="2:8" x14ac:dyDescent="0.2">
      <c r="B495" s="194"/>
      <c r="C495" s="194"/>
      <c r="D495" s="194"/>
      <c r="E495" s="194"/>
      <c r="F495" s="194"/>
      <c r="G495" s="194"/>
      <c r="H495" s="194"/>
    </row>
    <row r="496" spans="2:8" x14ac:dyDescent="0.2">
      <c r="B496" s="194"/>
      <c r="C496" s="194"/>
      <c r="D496" s="194"/>
      <c r="E496" s="194"/>
      <c r="F496" s="194"/>
      <c r="G496" s="194"/>
      <c r="H496" s="194"/>
    </row>
    <row r="497" spans="2:8" x14ac:dyDescent="0.2">
      <c r="B497" s="194"/>
      <c r="C497" s="194"/>
      <c r="D497" s="194"/>
      <c r="E497" s="194"/>
      <c r="F497" s="194"/>
      <c r="G497" s="194"/>
      <c r="H497" s="194"/>
    </row>
    <row r="498" spans="2:8" x14ac:dyDescent="0.2">
      <c r="B498" s="194"/>
      <c r="C498" s="194"/>
      <c r="D498" s="194"/>
      <c r="E498" s="194"/>
      <c r="F498" s="194"/>
      <c r="G498" s="194"/>
      <c r="H498" s="194"/>
    </row>
    <row r="499" spans="2:8" x14ac:dyDescent="0.2">
      <c r="B499" s="194"/>
      <c r="C499" s="194"/>
      <c r="D499" s="194"/>
      <c r="E499" s="194"/>
      <c r="F499" s="194"/>
      <c r="G499" s="194"/>
      <c r="H499" s="194"/>
    </row>
    <row r="500" spans="2:8" x14ac:dyDescent="0.2">
      <c r="B500" s="194"/>
      <c r="C500" s="194"/>
      <c r="D500" s="194"/>
      <c r="E500" s="194"/>
      <c r="F500" s="194"/>
      <c r="G500" s="194"/>
      <c r="H500" s="194"/>
    </row>
    <row r="501" spans="2:8" x14ac:dyDescent="0.2">
      <c r="B501" s="194"/>
      <c r="C501" s="194"/>
      <c r="D501" s="194"/>
      <c r="E501" s="194"/>
      <c r="F501" s="194"/>
      <c r="G501" s="194"/>
      <c r="H501" s="194"/>
    </row>
    <row r="502" spans="2:8" x14ac:dyDescent="0.2">
      <c r="B502" s="194"/>
      <c r="C502" s="194"/>
      <c r="D502" s="194"/>
      <c r="E502" s="194"/>
      <c r="F502" s="194"/>
      <c r="G502" s="194"/>
      <c r="H502" s="194"/>
    </row>
    <row r="503" spans="2:8" x14ac:dyDescent="0.2">
      <c r="B503" s="194"/>
      <c r="C503" s="194"/>
      <c r="D503" s="194"/>
      <c r="E503" s="194"/>
      <c r="F503" s="194"/>
      <c r="G503" s="194"/>
      <c r="H503" s="194"/>
    </row>
    <row r="504" spans="2:8" x14ac:dyDescent="0.2">
      <c r="B504" s="194"/>
      <c r="C504" s="194"/>
      <c r="D504" s="194"/>
      <c r="E504" s="194"/>
      <c r="F504" s="194"/>
      <c r="G504" s="194"/>
      <c r="H504" s="194"/>
    </row>
    <row r="505" spans="2:8" x14ac:dyDescent="0.2">
      <c r="B505" s="194"/>
      <c r="C505" s="194"/>
      <c r="D505" s="194"/>
      <c r="E505" s="194"/>
      <c r="F505" s="194"/>
      <c r="G505" s="194"/>
      <c r="H505" s="194"/>
    </row>
    <row r="506" spans="2:8" x14ac:dyDescent="0.2">
      <c r="B506" s="194"/>
      <c r="C506" s="194"/>
      <c r="D506" s="194"/>
      <c r="E506" s="194"/>
      <c r="F506" s="194"/>
      <c r="G506" s="194"/>
      <c r="H506" s="194"/>
    </row>
    <row r="507" spans="2:8" x14ac:dyDescent="0.2">
      <c r="B507" s="194"/>
      <c r="C507" s="194"/>
      <c r="D507" s="194"/>
      <c r="E507" s="194"/>
      <c r="F507" s="194"/>
      <c r="G507" s="194"/>
      <c r="H507" s="194"/>
    </row>
    <row r="508" spans="2:8" x14ac:dyDescent="0.2">
      <c r="B508" s="194"/>
      <c r="C508" s="194"/>
      <c r="D508" s="194"/>
      <c r="E508" s="194"/>
      <c r="F508" s="194"/>
      <c r="G508" s="194"/>
      <c r="H508" s="194"/>
    </row>
    <row r="509" spans="2:8" x14ac:dyDescent="0.2">
      <c r="B509" s="194"/>
      <c r="C509" s="194"/>
      <c r="D509" s="194"/>
      <c r="E509" s="194"/>
      <c r="F509" s="194"/>
      <c r="G509" s="194"/>
      <c r="H509" s="194"/>
    </row>
    <row r="510" spans="2:8" x14ac:dyDescent="0.2">
      <c r="B510" s="194"/>
      <c r="C510" s="194"/>
      <c r="D510" s="194"/>
      <c r="E510" s="194"/>
      <c r="F510" s="194"/>
      <c r="G510" s="194"/>
      <c r="H510" s="194"/>
    </row>
    <row r="511" spans="2:8" x14ac:dyDescent="0.2">
      <c r="B511" s="194"/>
      <c r="C511" s="194"/>
      <c r="D511" s="194"/>
      <c r="E511" s="194"/>
      <c r="F511" s="194"/>
      <c r="G511" s="194"/>
      <c r="H511" s="194"/>
    </row>
    <row r="512" spans="2:8" x14ac:dyDescent="0.2">
      <c r="B512" s="194"/>
      <c r="C512" s="194"/>
      <c r="D512" s="194"/>
      <c r="E512" s="194"/>
      <c r="F512" s="194"/>
      <c r="G512" s="194"/>
      <c r="H512" s="194"/>
    </row>
    <row r="513" spans="2:8" x14ac:dyDescent="0.2">
      <c r="B513" s="194"/>
      <c r="C513" s="194"/>
      <c r="D513" s="194"/>
      <c r="E513" s="194"/>
      <c r="F513" s="194"/>
      <c r="G513" s="194"/>
      <c r="H513" s="194"/>
    </row>
    <row r="514" spans="2:8" x14ac:dyDescent="0.2">
      <c r="B514" s="194"/>
      <c r="C514" s="194"/>
      <c r="D514" s="194"/>
      <c r="E514" s="194"/>
      <c r="F514" s="194"/>
      <c r="G514" s="194"/>
      <c r="H514" s="194"/>
    </row>
    <row r="515" spans="2:8" x14ac:dyDescent="0.2">
      <c r="B515" s="194"/>
      <c r="C515" s="194"/>
      <c r="D515" s="194"/>
      <c r="E515" s="194"/>
      <c r="F515" s="194"/>
      <c r="G515" s="194"/>
      <c r="H515" s="194"/>
    </row>
    <row r="516" spans="2:8" x14ac:dyDescent="0.2">
      <c r="B516" s="194"/>
      <c r="C516" s="194"/>
      <c r="D516" s="194"/>
      <c r="E516" s="194"/>
      <c r="F516" s="194"/>
      <c r="G516" s="194"/>
      <c r="H516" s="194"/>
    </row>
    <row r="517" spans="2:8" x14ac:dyDescent="0.2">
      <c r="B517" s="194"/>
      <c r="C517" s="194"/>
      <c r="D517" s="194"/>
      <c r="E517" s="194"/>
      <c r="F517" s="194"/>
      <c r="G517" s="194"/>
      <c r="H517" s="194"/>
    </row>
    <row r="518" spans="2:8" x14ac:dyDescent="0.2">
      <c r="B518" s="194"/>
      <c r="C518" s="194"/>
      <c r="D518" s="194"/>
      <c r="E518" s="194"/>
      <c r="F518" s="194"/>
      <c r="G518" s="194"/>
      <c r="H518" s="194"/>
    </row>
    <row r="519" spans="2:8" x14ac:dyDescent="0.2">
      <c r="B519" s="194"/>
      <c r="C519" s="194"/>
      <c r="D519" s="194"/>
      <c r="E519" s="194"/>
      <c r="F519" s="194"/>
      <c r="G519" s="194"/>
      <c r="H519" s="194"/>
    </row>
    <row r="520" spans="2:8" x14ac:dyDescent="0.2">
      <c r="B520" s="194"/>
      <c r="C520" s="194"/>
      <c r="D520" s="194"/>
      <c r="E520" s="194"/>
      <c r="F520" s="194"/>
      <c r="G520" s="194"/>
      <c r="H520" s="194"/>
    </row>
    <row r="521" spans="2:8" x14ac:dyDescent="0.2">
      <c r="B521" s="194"/>
      <c r="C521" s="194"/>
      <c r="D521" s="194"/>
      <c r="E521" s="194"/>
      <c r="F521" s="194"/>
      <c r="G521" s="194"/>
      <c r="H521" s="194"/>
    </row>
    <row r="522" spans="2:8" x14ac:dyDescent="0.2">
      <c r="B522" s="194"/>
      <c r="C522" s="194"/>
      <c r="D522" s="194"/>
      <c r="E522" s="194"/>
      <c r="F522" s="194"/>
      <c r="G522" s="194"/>
      <c r="H522" s="194"/>
    </row>
    <row r="523" spans="2:8" x14ac:dyDescent="0.2">
      <c r="B523" s="194"/>
      <c r="C523" s="194"/>
      <c r="D523" s="194"/>
      <c r="E523" s="194"/>
      <c r="F523" s="194"/>
      <c r="G523" s="194"/>
      <c r="H523" s="194"/>
    </row>
    <row r="524" spans="2:8" x14ac:dyDescent="0.2">
      <c r="B524" s="194"/>
      <c r="C524" s="194"/>
      <c r="D524" s="194"/>
      <c r="E524" s="194"/>
      <c r="F524" s="194"/>
      <c r="G524" s="194"/>
      <c r="H524" s="194"/>
    </row>
    <row r="525" spans="2:8" x14ac:dyDescent="0.2">
      <c r="B525" s="194"/>
      <c r="C525" s="194"/>
      <c r="D525" s="194"/>
      <c r="E525" s="194"/>
      <c r="F525" s="194"/>
      <c r="G525" s="194"/>
      <c r="H525" s="194"/>
    </row>
    <row r="526" spans="2:8" x14ac:dyDescent="0.2">
      <c r="B526" s="194"/>
      <c r="C526" s="194"/>
      <c r="D526" s="194"/>
      <c r="E526" s="194"/>
      <c r="F526" s="194"/>
      <c r="G526" s="194"/>
      <c r="H526" s="194"/>
    </row>
    <row r="527" spans="2:8" x14ac:dyDescent="0.2">
      <c r="B527" s="194"/>
      <c r="C527" s="194"/>
      <c r="D527" s="194"/>
      <c r="E527" s="194"/>
      <c r="F527" s="194"/>
      <c r="G527" s="194"/>
      <c r="H527" s="194"/>
    </row>
    <row r="528" spans="2:8" x14ac:dyDescent="0.2">
      <c r="B528" s="194"/>
      <c r="C528" s="194"/>
      <c r="D528" s="194"/>
      <c r="E528" s="194"/>
      <c r="F528" s="194"/>
      <c r="G528" s="194"/>
      <c r="H528" s="194"/>
    </row>
    <row r="529" spans="2:8" x14ac:dyDescent="0.2">
      <c r="B529" s="194"/>
      <c r="C529" s="194"/>
      <c r="D529" s="194"/>
      <c r="E529" s="194"/>
      <c r="F529" s="194"/>
      <c r="G529" s="194"/>
      <c r="H529" s="194"/>
    </row>
    <row r="530" spans="2:8" x14ac:dyDescent="0.2">
      <c r="B530" s="194"/>
      <c r="C530" s="194"/>
      <c r="D530" s="194"/>
      <c r="E530" s="194"/>
      <c r="F530" s="194"/>
      <c r="G530" s="194"/>
      <c r="H530" s="194"/>
    </row>
    <row r="531" spans="2:8" x14ac:dyDescent="0.2">
      <c r="B531" s="194"/>
      <c r="C531" s="194"/>
      <c r="D531" s="194"/>
      <c r="E531" s="194"/>
      <c r="F531" s="194"/>
      <c r="G531" s="194"/>
      <c r="H531" s="194"/>
    </row>
    <row r="532" spans="2:8" x14ac:dyDescent="0.2">
      <c r="B532" s="194"/>
      <c r="C532" s="194"/>
      <c r="D532" s="194"/>
      <c r="E532" s="194"/>
      <c r="F532" s="194"/>
      <c r="G532" s="194"/>
      <c r="H532" s="194"/>
    </row>
    <row r="533" spans="2:8" x14ac:dyDescent="0.2">
      <c r="B533" s="194"/>
      <c r="C533" s="194"/>
      <c r="D533" s="194"/>
      <c r="E533" s="194"/>
      <c r="F533" s="194"/>
      <c r="G533" s="194"/>
      <c r="H533" s="194"/>
    </row>
    <row r="534" spans="2:8" x14ac:dyDescent="0.2">
      <c r="B534" s="194"/>
      <c r="C534" s="194"/>
      <c r="D534" s="194"/>
      <c r="E534" s="194"/>
      <c r="F534" s="194"/>
      <c r="G534" s="194"/>
      <c r="H534" s="194"/>
    </row>
    <row r="535" spans="2:8" x14ac:dyDescent="0.2">
      <c r="B535" s="194"/>
      <c r="C535" s="194"/>
      <c r="D535" s="194"/>
      <c r="E535" s="194"/>
      <c r="F535" s="194"/>
      <c r="G535" s="194"/>
      <c r="H535" s="194"/>
    </row>
    <row r="536" spans="2:8" x14ac:dyDescent="0.2">
      <c r="B536" s="194"/>
      <c r="C536" s="194"/>
      <c r="D536" s="194"/>
      <c r="E536" s="194"/>
      <c r="F536" s="194"/>
      <c r="G536" s="194"/>
      <c r="H536" s="194"/>
    </row>
    <row r="537" spans="2:8" x14ac:dyDescent="0.2">
      <c r="B537" s="194"/>
      <c r="C537" s="194"/>
      <c r="D537" s="194"/>
      <c r="E537" s="194"/>
      <c r="F537" s="194"/>
      <c r="G537" s="194"/>
      <c r="H537" s="194"/>
    </row>
    <row r="538" spans="2:8" x14ac:dyDescent="0.2">
      <c r="B538" s="194"/>
      <c r="C538" s="194"/>
      <c r="D538" s="194"/>
      <c r="E538" s="194"/>
      <c r="F538" s="194"/>
      <c r="G538" s="194"/>
      <c r="H538" s="194"/>
    </row>
    <row r="539" spans="2:8" x14ac:dyDescent="0.2">
      <c r="B539" s="194"/>
      <c r="C539" s="194"/>
      <c r="D539" s="194"/>
      <c r="E539" s="194"/>
      <c r="F539" s="194"/>
      <c r="G539" s="194"/>
      <c r="H539" s="194"/>
    </row>
    <row r="540" spans="2:8" x14ac:dyDescent="0.2">
      <c r="B540" s="194"/>
      <c r="C540" s="194"/>
      <c r="D540" s="194"/>
      <c r="E540" s="194"/>
      <c r="F540" s="194"/>
      <c r="G540" s="194"/>
      <c r="H540" s="194"/>
    </row>
    <row r="541" spans="2:8" x14ac:dyDescent="0.2">
      <c r="B541" s="194"/>
      <c r="C541" s="194"/>
      <c r="D541" s="194"/>
      <c r="E541" s="194"/>
      <c r="F541" s="194"/>
      <c r="G541" s="194"/>
      <c r="H541" s="194"/>
    </row>
    <row r="542" spans="2:8" x14ac:dyDescent="0.2">
      <c r="B542" s="194"/>
      <c r="C542" s="194"/>
      <c r="D542" s="194"/>
      <c r="E542" s="194"/>
      <c r="F542" s="194"/>
      <c r="G542" s="194"/>
      <c r="H542" s="194"/>
    </row>
    <row r="543" spans="2:8" x14ac:dyDescent="0.2">
      <c r="B543" s="194"/>
      <c r="C543" s="194"/>
      <c r="D543" s="194"/>
      <c r="E543" s="194"/>
      <c r="F543" s="194"/>
      <c r="G543" s="194"/>
      <c r="H543" s="194"/>
    </row>
    <row r="544" spans="2:8" x14ac:dyDescent="0.2">
      <c r="B544" s="194"/>
      <c r="C544" s="194"/>
      <c r="D544" s="194"/>
      <c r="E544" s="194"/>
      <c r="F544" s="194"/>
      <c r="G544" s="194"/>
      <c r="H544" s="194"/>
    </row>
    <row r="545" spans="2:8" x14ac:dyDescent="0.2">
      <c r="B545" s="194"/>
      <c r="C545" s="194"/>
      <c r="D545" s="194"/>
      <c r="E545" s="194"/>
      <c r="F545" s="194"/>
      <c r="G545" s="194"/>
      <c r="H545" s="194"/>
    </row>
    <row r="546" spans="2:8" x14ac:dyDescent="0.2">
      <c r="B546" s="194"/>
      <c r="C546" s="194"/>
      <c r="D546" s="194"/>
      <c r="E546" s="194"/>
      <c r="F546" s="194"/>
      <c r="G546" s="194"/>
      <c r="H546" s="194"/>
    </row>
    <row r="547" spans="2:8" x14ac:dyDescent="0.2">
      <c r="B547" s="194"/>
      <c r="C547" s="194"/>
      <c r="D547" s="194"/>
      <c r="E547" s="194"/>
      <c r="F547" s="194"/>
      <c r="G547" s="194"/>
      <c r="H547" s="194"/>
    </row>
    <row r="548" spans="2:8" x14ac:dyDescent="0.2">
      <c r="B548" s="194"/>
      <c r="C548" s="194"/>
      <c r="D548" s="194"/>
      <c r="E548" s="194"/>
      <c r="F548" s="194"/>
      <c r="G548" s="194"/>
      <c r="H548" s="194"/>
    </row>
    <row r="549" spans="2:8" x14ac:dyDescent="0.2">
      <c r="B549" s="194"/>
      <c r="C549" s="194"/>
      <c r="D549" s="194"/>
      <c r="E549" s="194"/>
      <c r="F549" s="194"/>
      <c r="G549" s="194"/>
      <c r="H549" s="194"/>
    </row>
    <row r="550" spans="2:8" x14ac:dyDescent="0.2">
      <c r="B550" s="194"/>
      <c r="C550" s="194"/>
      <c r="D550" s="194"/>
      <c r="E550" s="194"/>
      <c r="F550" s="194"/>
      <c r="G550" s="194"/>
      <c r="H550" s="194"/>
    </row>
    <row r="551" spans="2:8" x14ac:dyDescent="0.2">
      <c r="B551" s="194"/>
      <c r="C551" s="194"/>
      <c r="D551" s="194"/>
      <c r="E551" s="194"/>
      <c r="F551" s="194"/>
      <c r="G551" s="194"/>
      <c r="H551" s="194"/>
    </row>
    <row r="552" spans="2:8" x14ac:dyDescent="0.2">
      <c r="B552" s="194"/>
      <c r="C552" s="194"/>
      <c r="D552" s="194"/>
      <c r="E552" s="194"/>
      <c r="F552" s="194"/>
      <c r="G552" s="194"/>
      <c r="H552" s="194"/>
    </row>
    <row r="553" spans="2:8" x14ac:dyDescent="0.2">
      <c r="B553" s="194"/>
      <c r="C553" s="194"/>
      <c r="D553" s="194"/>
      <c r="E553" s="194"/>
      <c r="F553" s="194"/>
      <c r="G553" s="194"/>
      <c r="H553" s="194"/>
    </row>
    <row r="554" spans="2:8" x14ac:dyDescent="0.2">
      <c r="B554" s="194"/>
      <c r="C554" s="194"/>
      <c r="D554" s="194"/>
      <c r="E554" s="194"/>
      <c r="F554" s="194"/>
      <c r="G554" s="194"/>
      <c r="H554" s="194"/>
    </row>
    <row r="555" spans="2:8" x14ac:dyDescent="0.2">
      <c r="B555" s="194"/>
      <c r="C555" s="194"/>
      <c r="D555" s="194"/>
      <c r="E555" s="194"/>
      <c r="F555" s="194"/>
      <c r="G555" s="194"/>
      <c r="H555" s="194"/>
    </row>
    <row r="556" spans="2:8" x14ac:dyDescent="0.2">
      <c r="B556" s="194"/>
      <c r="C556" s="194"/>
      <c r="D556" s="194"/>
      <c r="E556" s="194"/>
      <c r="F556" s="194"/>
      <c r="G556" s="194"/>
      <c r="H556" s="194"/>
    </row>
    <row r="557" spans="2:8" x14ac:dyDescent="0.2">
      <c r="B557" s="194"/>
      <c r="C557" s="194"/>
      <c r="D557" s="194"/>
      <c r="E557" s="194"/>
      <c r="F557" s="194"/>
      <c r="G557" s="194"/>
      <c r="H557" s="194"/>
    </row>
    <row r="558" spans="2:8" x14ac:dyDescent="0.2">
      <c r="B558" s="194"/>
      <c r="C558" s="194"/>
      <c r="D558" s="194"/>
      <c r="E558" s="194"/>
      <c r="F558" s="194"/>
      <c r="G558" s="194"/>
      <c r="H558" s="194"/>
    </row>
    <row r="559" spans="2:8" x14ac:dyDescent="0.2">
      <c r="B559" s="194"/>
      <c r="C559" s="194"/>
      <c r="D559" s="194"/>
      <c r="E559" s="194"/>
      <c r="F559" s="194"/>
      <c r="G559" s="194"/>
      <c r="H559" s="194"/>
    </row>
    <row r="560" spans="2:8" x14ac:dyDescent="0.2">
      <c r="B560" s="194"/>
      <c r="C560" s="194"/>
      <c r="D560" s="194"/>
      <c r="E560" s="194"/>
      <c r="F560" s="194"/>
      <c r="G560" s="194"/>
      <c r="H560" s="194"/>
    </row>
    <row r="561" spans="2:8" x14ac:dyDescent="0.2">
      <c r="B561" s="194"/>
      <c r="C561" s="194"/>
      <c r="D561" s="194"/>
      <c r="E561" s="194"/>
      <c r="F561" s="194"/>
      <c r="G561" s="194"/>
      <c r="H561" s="194"/>
    </row>
    <row r="562" spans="2:8" x14ac:dyDescent="0.2">
      <c r="B562" s="194"/>
      <c r="C562" s="194"/>
      <c r="D562" s="194"/>
      <c r="E562" s="194"/>
      <c r="F562" s="194"/>
      <c r="G562" s="194"/>
      <c r="H562" s="194"/>
    </row>
    <row r="563" spans="2:8" x14ac:dyDescent="0.2">
      <c r="B563" s="194"/>
      <c r="C563" s="194"/>
      <c r="D563" s="194"/>
      <c r="E563" s="194"/>
      <c r="F563" s="194"/>
      <c r="G563" s="194"/>
      <c r="H563" s="194"/>
    </row>
    <row r="564" spans="2:8" x14ac:dyDescent="0.2">
      <c r="B564" s="194"/>
      <c r="C564" s="194"/>
      <c r="D564" s="194"/>
      <c r="E564" s="194"/>
      <c r="F564" s="194"/>
      <c r="G564" s="194"/>
      <c r="H564" s="194"/>
    </row>
    <row r="565" spans="2:8" x14ac:dyDescent="0.2">
      <c r="B565" s="194"/>
      <c r="C565" s="194"/>
      <c r="D565" s="194"/>
      <c r="E565" s="194"/>
      <c r="F565" s="194"/>
      <c r="G565" s="194"/>
      <c r="H565" s="194"/>
    </row>
    <row r="566" spans="2:8" x14ac:dyDescent="0.2">
      <c r="B566" s="194"/>
      <c r="C566" s="194"/>
      <c r="D566" s="194"/>
      <c r="E566" s="194"/>
      <c r="F566" s="194"/>
      <c r="G566" s="194"/>
      <c r="H566" s="194"/>
    </row>
    <row r="567" spans="2:8" x14ac:dyDescent="0.2">
      <c r="B567" s="194"/>
      <c r="C567" s="194"/>
      <c r="D567" s="194"/>
      <c r="E567" s="194"/>
      <c r="F567" s="194"/>
      <c r="G567" s="194"/>
      <c r="H567" s="194"/>
    </row>
    <row r="568" spans="2:8" x14ac:dyDescent="0.2">
      <c r="B568" s="194"/>
      <c r="C568" s="194"/>
      <c r="D568" s="194"/>
      <c r="E568" s="194"/>
      <c r="F568" s="194"/>
      <c r="G568" s="194"/>
      <c r="H568" s="194"/>
    </row>
    <row r="569" spans="2:8" x14ac:dyDescent="0.2">
      <c r="B569" s="194"/>
      <c r="C569" s="194"/>
      <c r="D569" s="194"/>
      <c r="E569" s="194"/>
      <c r="F569" s="194"/>
      <c r="G569" s="194"/>
      <c r="H569" s="194"/>
    </row>
    <row r="570" spans="2:8" x14ac:dyDescent="0.2">
      <c r="B570" s="194"/>
      <c r="C570" s="194"/>
      <c r="D570" s="194"/>
      <c r="E570" s="194"/>
      <c r="F570" s="194"/>
      <c r="G570" s="194"/>
      <c r="H570" s="194"/>
    </row>
    <row r="571" spans="2:8" x14ac:dyDescent="0.2">
      <c r="B571" s="194"/>
      <c r="C571" s="194"/>
      <c r="D571" s="194"/>
      <c r="E571" s="194"/>
      <c r="F571" s="194"/>
      <c r="G571" s="194"/>
      <c r="H571" s="194"/>
    </row>
    <row r="572" spans="2:8" x14ac:dyDescent="0.2">
      <c r="B572" s="194"/>
      <c r="C572" s="194"/>
      <c r="D572" s="194"/>
      <c r="E572" s="194"/>
      <c r="F572" s="194"/>
      <c r="G572" s="194"/>
      <c r="H572" s="194"/>
    </row>
    <row r="573" spans="2:8" x14ac:dyDescent="0.2">
      <c r="B573" s="194"/>
      <c r="C573" s="194"/>
      <c r="D573" s="194"/>
      <c r="E573" s="194"/>
      <c r="F573" s="194"/>
      <c r="G573" s="194"/>
      <c r="H573" s="194"/>
    </row>
    <row r="574" spans="2:8" x14ac:dyDescent="0.2">
      <c r="B574" s="194"/>
      <c r="C574" s="194"/>
      <c r="D574" s="194"/>
      <c r="E574" s="194"/>
      <c r="F574" s="194"/>
      <c r="G574" s="194"/>
      <c r="H574" s="194"/>
    </row>
    <row r="575" spans="2:8" x14ac:dyDescent="0.2">
      <c r="B575" s="194"/>
      <c r="C575" s="194"/>
      <c r="D575" s="194"/>
      <c r="E575" s="194"/>
      <c r="F575" s="194"/>
      <c r="G575" s="194"/>
      <c r="H575" s="194"/>
    </row>
    <row r="576" spans="2:8" x14ac:dyDescent="0.2">
      <c r="B576" s="194"/>
      <c r="C576" s="194"/>
      <c r="D576" s="194"/>
      <c r="E576" s="194"/>
      <c r="F576" s="194"/>
      <c r="G576" s="194"/>
      <c r="H576" s="194"/>
    </row>
  </sheetData>
  <mergeCells count="6">
    <mergeCell ref="A1:H1"/>
    <mergeCell ref="A2:H2"/>
    <mergeCell ref="A3:H3"/>
    <mergeCell ref="A7:F7"/>
    <mergeCell ref="A5:H5"/>
    <mergeCell ref="A6:F6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 первое чтение вед стр-ра</vt:lpstr>
      <vt:lpstr>первое чтение программы</vt:lpstr>
      <vt:lpstr>первое чтение по разд</vt:lpstr>
      <vt:lpstr>' первое чтение вед стр-ра'!Заголовки_для_печати</vt:lpstr>
      <vt:lpstr>'первое чтение по разд'!Заголовки_для_печати</vt:lpstr>
      <vt:lpstr>'первое чтение программы'!Заголовки_для_печати</vt:lpstr>
      <vt:lpstr>' первое чтение вед стр-ра'!Область_печати</vt:lpstr>
      <vt:lpstr>'первое чтение по разд'!Область_печати</vt:lpstr>
      <vt:lpstr>'первое чтение программы'!Область_печати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Elena Kataeva</cp:lastModifiedBy>
  <cp:lastPrinted>2019-11-15T06:27:21Z</cp:lastPrinted>
  <dcterms:created xsi:type="dcterms:W3CDTF">2007-12-19T00:56:18Z</dcterms:created>
  <dcterms:modified xsi:type="dcterms:W3CDTF">2019-11-15T06:27:47Z</dcterms:modified>
</cp:coreProperties>
</file>