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-390" yWindow="1575" windowWidth="9900" windowHeight="7650" firstSheet="1" activeTab="1"/>
  </bookViews>
  <sheets>
    <sheet name="август" sheetId="18" state="hidden" r:id="rId1"/>
    <sheet name="декабрь" sheetId="30" r:id="rId2"/>
    <sheet name="Лист1" sheetId="31" r:id="rId3"/>
  </sheets>
  <definedNames>
    <definedName name="_xlnm.Print_Area" localSheetId="0">август!$A$1:$F$226</definedName>
    <definedName name="_xlnm.Print_Area" localSheetId="1">декабрь!$A$1:$F$402</definedName>
    <definedName name="_xlnm.Print_Area" localSheetId="2">Лист1!$A$1:$F$17</definedName>
  </definedNames>
  <calcPr calcId="145621"/>
</workbook>
</file>

<file path=xl/calcChain.xml><?xml version="1.0" encoding="utf-8"?>
<calcChain xmlns="http://schemas.openxmlformats.org/spreadsheetml/2006/main">
  <c r="H69" i="30" l="1"/>
  <c r="D67" i="30"/>
  <c r="D54" i="30"/>
  <c r="D41" i="30" l="1"/>
  <c r="D39" i="30"/>
  <c r="D34" i="30"/>
  <c r="D13" i="30"/>
  <c r="D12" i="30"/>
  <c r="B398" i="30" l="1"/>
  <c r="E231" i="30"/>
  <c r="F396" i="30"/>
  <c r="F397" i="30" l="1"/>
  <c r="E218" i="30"/>
  <c r="E233" i="30"/>
  <c r="E356" i="30"/>
  <c r="F383" i="30" l="1"/>
  <c r="F243" i="30"/>
  <c r="F242" i="30"/>
  <c r="F241" i="30"/>
  <c r="F219" i="30"/>
  <c r="E222" i="30"/>
  <c r="H73" i="30" l="1"/>
  <c r="E25" i="30"/>
  <c r="E52" i="30"/>
  <c r="E48" i="30"/>
  <c r="E46" i="30"/>
  <c r="E45" i="30"/>
  <c r="E44" i="30"/>
  <c r="E42" i="30"/>
  <c r="E40" i="30"/>
  <c r="E34" i="30"/>
  <c r="E29" i="30"/>
  <c r="E26" i="30"/>
  <c r="B378" i="30" l="1"/>
  <c r="B380" i="30"/>
  <c r="B379" i="30"/>
  <c r="E230" i="30" l="1"/>
  <c r="F247" i="30"/>
  <c r="E221" i="30" l="1"/>
  <c r="E216" i="30"/>
  <c r="E306" i="30" l="1"/>
  <c r="E301" i="30"/>
  <c r="E293" i="30"/>
  <c r="E284" i="30"/>
  <c r="E281" i="30"/>
  <c r="E280" i="30"/>
  <c r="E275" i="30"/>
  <c r="E274" i="30"/>
  <c r="E278" i="30"/>
  <c r="E277" i="30"/>
  <c r="E264" i="30"/>
  <c r="E265" i="30"/>
  <c r="E261" i="30"/>
  <c r="E269" i="30"/>
  <c r="E333" i="30"/>
  <c r="E334" i="30"/>
  <c r="E330" i="30"/>
  <c r="F388" i="30"/>
  <c r="E325" i="30"/>
  <c r="E322" i="30"/>
  <c r="E366" i="30" l="1"/>
  <c r="E350" i="30" l="1"/>
  <c r="E349" i="30"/>
  <c r="E344" i="30"/>
  <c r="E343" i="30"/>
  <c r="E342" i="30"/>
  <c r="E341" i="30"/>
  <c r="E140" i="30"/>
  <c r="F139" i="30"/>
  <c r="E276" i="30"/>
  <c r="E288" i="30" l="1"/>
  <c r="E367" i="30" l="1"/>
  <c r="E362" i="30"/>
  <c r="E361" i="30"/>
  <c r="E355" i="30"/>
  <c r="E354" i="30"/>
  <c r="F393" i="30"/>
  <c r="E234" i="30"/>
  <c r="F222" i="30"/>
  <c r="F223" i="30"/>
  <c r="E220" i="30"/>
  <c r="E304" i="30"/>
  <c r="E303" i="30"/>
  <c r="E286" i="30"/>
  <c r="E296" i="30"/>
  <c r="E292" i="30"/>
  <c r="E273" i="30"/>
  <c r="E252" i="30"/>
  <c r="E251" i="30"/>
  <c r="F255" i="30" l="1"/>
  <c r="F287" i="30" l="1"/>
  <c r="F288" i="30"/>
  <c r="E260" i="30" l="1"/>
  <c r="F267" i="30"/>
  <c r="E257" i="30"/>
  <c r="E364" i="30" l="1"/>
  <c r="E217" i="30"/>
  <c r="E158" i="30" l="1"/>
  <c r="F158" i="30" s="1"/>
  <c r="F109" i="30"/>
  <c r="F110" i="30"/>
  <c r="F118" i="30"/>
  <c r="E290" i="30"/>
  <c r="E289" i="30"/>
  <c r="D364" i="30" l="1"/>
  <c r="E227" i="30" l="1"/>
  <c r="F289" i="30"/>
  <c r="F290" i="30"/>
  <c r="F291" i="30"/>
  <c r="D305" i="30" l="1"/>
  <c r="F311" i="30"/>
  <c r="F305" i="30"/>
  <c r="E302" i="30"/>
  <c r="F307" i="30"/>
  <c r="F306" i="30"/>
  <c r="E300" i="30"/>
  <c r="F295" i="30"/>
  <c r="E294" i="30"/>
  <c r="F285" i="30" l="1"/>
  <c r="F279" i="30"/>
  <c r="F398" i="30" l="1"/>
  <c r="F314" i="30"/>
  <c r="F313" i="30"/>
  <c r="F312" i="30"/>
  <c r="F119" i="30"/>
  <c r="D308" i="30" s="1"/>
  <c r="F135" i="30"/>
  <c r="D346" i="30" s="1"/>
  <c r="F327" i="30"/>
  <c r="F229" i="30"/>
  <c r="E360" i="30"/>
  <c r="E317" i="30"/>
  <c r="F245" i="30"/>
  <c r="F244" i="30"/>
  <c r="F246" i="30"/>
  <c r="F178" i="30" l="1"/>
  <c r="F177" i="30"/>
  <c r="F174" i="30" l="1"/>
  <c r="F172" i="30"/>
  <c r="F171" i="30"/>
  <c r="F170" i="30"/>
  <c r="F169" i="30"/>
  <c r="E166" i="30"/>
  <c r="E165" i="30"/>
  <c r="F167" i="30"/>
  <c r="F168" i="30"/>
  <c r="F176" i="30"/>
  <c r="F175" i="30"/>
  <c r="E151" i="30" l="1"/>
  <c r="F128" i="30" l="1"/>
  <c r="E145" i="30"/>
  <c r="F130" i="30"/>
  <c r="F132" i="30"/>
  <c r="F142" i="30"/>
  <c r="F147" i="30"/>
  <c r="F154" i="30" l="1"/>
  <c r="E127" i="30"/>
  <c r="F234" i="30"/>
  <c r="E225" i="30"/>
  <c r="F389" i="30"/>
  <c r="F238" i="30"/>
  <c r="F382" i="30"/>
  <c r="E315" i="30"/>
  <c r="F302" i="30"/>
  <c r="F301" i="30"/>
  <c r="F297" i="30"/>
  <c r="F298" i="30"/>
  <c r="F299" i="30"/>
  <c r="F300" i="30"/>
  <c r="F385" i="30" l="1"/>
  <c r="F224" i="30"/>
  <c r="F225" i="30"/>
  <c r="F216" i="30" l="1"/>
  <c r="E329" i="30"/>
  <c r="E328" i="30"/>
  <c r="F328" i="30" s="1"/>
  <c r="E324" i="30"/>
  <c r="E323" i="30"/>
  <c r="E320" i="30"/>
  <c r="E321" i="30"/>
  <c r="E318" i="30"/>
  <c r="F257" i="30" l="1"/>
  <c r="F258" i="30"/>
  <c r="F260" i="30"/>
  <c r="F261" i="30"/>
  <c r="F262" i="30"/>
  <c r="F263" i="30"/>
  <c r="F264" i="30"/>
  <c r="F265" i="30"/>
  <c r="F266" i="30"/>
  <c r="F268" i="30"/>
  <c r="F269" i="30"/>
  <c r="E259" i="30"/>
  <c r="F259" i="30" s="1"/>
  <c r="F342" i="30"/>
  <c r="F341" i="30"/>
  <c r="F338" i="30"/>
  <c r="F233" i="30"/>
  <c r="F250" i="30"/>
  <c r="F249" i="30"/>
  <c r="F248" i="30"/>
  <c r="F325" i="30" l="1"/>
  <c r="F333" i="30" l="1"/>
  <c r="F166" i="30" l="1"/>
  <c r="F165" i="30"/>
  <c r="F107" i="30"/>
  <c r="F108" i="30"/>
  <c r="F386" i="30"/>
  <c r="F254" i="30"/>
  <c r="F367" i="30" l="1"/>
  <c r="F366" i="30"/>
  <c r="E256" i="30" l="1"/>
  <c r="E253" i="30"/>
  <c r="F220" i="30"/>
  <c r="F217" i="30"/>
  <c r="F309" i="30"/>
  <c r="F310" i="30"/>
  <c r="F315" i="30"/>
  <c r="F303" i="30"/>
  <c r="F296" i="30"/>
  <c r="F364" i="30"/>
  <c r="F162" i="30"/>
  <c r="F370" i="30"/>
  <c r="F369" i="30"/>
  <c r="F337" i="30" l="1"/>
  <c r="F336" i="30"/>
  <c r="F316" i="30"/>
  <c r="F317" i="30"/>
  <c r="F270" i="30"/>
  <c r="F271" i="30"/>
  <c r="F272" i="30"/>
  <c r="F352" i="30"/>
  <c r="F252" i="30"/>
  <c r="F251" i="30"/>
  <c r="F232" i="30"/>
  <c r="F231" i="30"/>
  <c r="F230" i="30"/>
  <c r="F221" i="30" l="1"/>
  <c r="F218" i="30"/>
  <c r="F228" i="30"/>
  <c r="F235" i="30"/>
  <c r="F227" i="30"/>
  <c r="F226" i="30"/>
  <c r="F236" i="30"/>
  <c r="F240" i="30"/>
  <c r="F239" i="30"/>
  <c r="E308" i="30"/>
  <c r="F308" i="30" s="1"/>
  <c r="F346" i="30"/>
  <c r="E345" i="30"/>
  <c r="F237" i="30"/>
  <c r="G383" i="30" l="1"/>
  <c r="E357" i="30"/>
  <c r="E351" i="30" l="1"/>
  <c r="F349" i="30"/>
  <c r="F347" i="30"/>
  <c r="F353" i="30" l="1"/>
  <c r="F363" i="30"/>
  <c r="F359" i="30"/>
  <c r="F357" i="30"/>
  <c r="F358" i="30"/>
  <c r="B382" i="30" l="1"/>
  <c r="F146" i="30" l="1"/>
  <c r="F157" i="30"/>
  <c r="F156" i="30" l="1"/>
  <c r="F140" i="30"/>
  <c r="F144" i="30"/>
  <c r="F138" i="30"/>
  <c r="F134" i="30"/>
  <c r="F133" i="30"/>
  <c r="F155" i="30"/>
  <c r="F153" i="30"/>
  <c r="E47" i="30" l="1"/>
  <c r="E49" i="30"/>
  <c r="E50" i="30"/>
  <c r="E51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31" i="30"/>
  <c r="E32" i="30"/>
  <c r="E33" i="30"/>
  <c r="E35" i="30"/>
  <c r="E36" i="30"/>
  <c r="E37" i="30"/>
  <c r="E38" i="30"/>
  <c r="E39" i="30"/>
  <c r="E41" i="30"/>
  <c r="E43" i="30"/>
  <c r="E66" i="30"/>
  <c r="E67" i="30"/>
  <c r="E68" i="30"/>
  <c r="E16" i="30"/>
  <c r="E17" i="30"/>
  <c r="E18" i="30"/>
  <c r="E19" i="30"/>
  <c r="E20" i="30"/>
  <c r="E21" i="30"/>
  <c r="E22" i="30"/>
  <c r="E23" i="30"/>
  <c r="E24" i="30"/>
  <c r="E27" i="30"/>
  <c r="E28" i="30"/>
  <c r="E30" i="30"/>
  <c r="E14" i="30"/>
  <c r="E15" i="30"/>
  <c r="E13" i="30" l="1"/>
  <c r="E12" i="30"/>
  <c r="E69" i="30" s="1"/>
  <c r="F292" i="30" l="1"/>
  <c r="E371" i="30" l="1"/>
  <c r="H383" i="30" s="1"/>
  <c r="F280" i="30"/>
  <c r="E126" i="30"/>
  <c r="E179" i="30" s="1"/>
  <c r="F332" i="30" l="1"/>
  <c r="F160" i="30" l="1"/>
  <c r="D356" i="30" s="1"/>
  <c r="F356" i="30" s="1"/>
  <c r="F161" i="30"/>
  <c r="F294" i="30" l="1"/>
  <c r="F319" i="30" l="1"/>
  <c r="F321" i="30" l="1"/>
  <c r="B383" i="30" l="1"/>
  <c r="F125" i="30" l="1"/>
  <c r="F354" i="30" l="1"/>
  <c r="F360" i="30"/>
  <c r="E78" i="30" l="1"/>
  <c r="G384" i="30" l="1"/>
  <c r="F365" i="30" l="1"/>
  <c r="F163" i="30"/>
  <c r="F343" i="30" l="1"/>
  <c r="F340" i="30" l="1"/>
  <c r="F339" i="30"/>
  <c r="F331" i="30" l="1"/>
  <c r="F330" i="30"/>
  <c r="F256" i="30"/>
  <c r="F253" i="30"/>
  <c r="F326" i="30" l="1"/>
  <c r="F323" i="30"/>
  <c r="F335" i="30" l="1"/>
  <c r="F334" i="30"/>
  <c r="F324" i="30"/>
  <c r="F322" i="30"/>
  <c r="F152" i="30" l="1"/>
  <c r="D351" i="30" s="1"/>
  <c r="F151" i="30"/>
  <c r="D350" i="30" s="1"/>
  <c r="F136" i="30"/>
  <c r="D345" i="30" s="1"/>
  <c r="F345" i="30" s="1"/>
  <c r="F150" i="30"/>
  <c r="D344" i="30" s="1"/>
  <c r="F344" i="30" s="1"/>
  <c r="F149" i="30"/>
  <c r="F141" i="30"/>
  <c r="F137" i="30"/>
  <c r="F131" i="30"/>
  <c r="F129" i="30"/>
  <c r="F123" i="30" l="1"/>
  <c r="F148" i="30"/>
  <c r="F145" i="30"/>
  <c r="D348" i="30" s="1"/>
  <c r="F348" i="30" s="1"/>
  <c r="F143" i="30" l="1"/>
  <c r="F159" i="30"/>
  <c r="F351" i="30"/>
  <c r="F350" i="30"/>
  <c r="F124" i="30"/>
  <c r="F122" i="30"/>
  <c r="F112" i="30" l="1"/>
  <c r="F111" i="30"/>
  <c r="D273" i="30" l="1"/>
  <c r="F273" i="30" s="1"/>
  <c r="D275" i="30"/>
  <c r="F113" i="30" l="1"/>
  <c r="D293" i="30" s="1"/>
  <c r="F114" i="30"/>
  <c r="F115" i="30"/>
  <c r="F116" i="30"/>
  <c r="F117" i="30"/>
  <c r="D282" i="30" s="1"/>
  <c r="F282" i="30" s="1"/>
  <c r="F120" i="30"/>
  <c r="D304" i="30" l="1"/>
  <c r="F121" i="30"/>
  <c r="F126" i="30"/>
  <c r="F286" i="30" l="1"/>
  <c r="F284" i="30"/>
  <c r="F127" i="30" l="1"/>
  <c r="F318" i="30" l="1"/>
  <c r="F274" i="30"/>
  <c r="F329" i="30" l="1"/>
  <c r="F276" i="30" l="1"/>
  <c r="F281" i="30" l="1"/>
  <c r="F277" i="30"/>
  <c r="F361" i="30"/>
  <c r="B381" i="30" l="1"/>
  <c r="F283" i="30" l="1"/>
  <c r="F355" i="30" l="1"/>
  <c r="F378" i="30" l="1"/>
  <c r="G379" i="30" s="1"/>
  <c r="F399" i="30" l="1"/>
  <c r="F278" i="30" l="1"/>
  <c r="F293" i="30"/>
  <c r="F362" i="30" l="1"/>
  <c r="F304" i="30" l="1"/>
  <c r="F275" i="30" l="1"/>
  <c r="B399" i="30" l="1"/>
  <c r="G399" i="30" l="1"/>
  <c r="F320" i="30"/>
  <c r="E11" i="18" l="1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F47" i="18"/>
  <c r="F48" i="18"/>
  <c r="F49" i="18"/>
  <c r="F50" i="18"/>
  <c r="F51" i="18"/>
  <c r="F52" i="18"/>
  <c r="E53" i="18"/>
  <c r="F53" i="18" s="1"/>
  <c r="E54" i="18"/>
  <c r="F54" i="18" s="1"/>
  <c r="F55" i="18"/>
  <c r="F56" i="18"/>
  <c r="F57" i="18"/>
  <c r="F58" i="18"/>
  <c r="F59" i="18"/>
  <c r="F60" i="18"/>
  <c r="G61" i="18"/>
  <c r="E121" i="18"/>
  <c r="E122" i="18"/>
  <c r="F122" i="18" s="1"/>
  <c r="E123" i="18"/>
  <c r="F123" i="18" s="1"/>
  <c r="E124" i="18"/>
  <c r="F124" i="18" s="1"/>
  <c r="E125" i="18"/>
  <c r="F125" i="18" s="1"/>
  <c r="F126" i="18"/>
  <c r="F127" i="18"/>
  <c r="F128" i="18"/>
  <c r="F129" i="18"/>
  <c r="F130" i="18"/>
  <c r="E131" i="18"/>
  <c r="F131" i="18" s="1"/>
  <c r="F132" i="18"/>
  <c r="F133" i="18"/>
  <c r="F134" i="18"/>
  <c r="F135" i="18"/>
  <c r="F136" i="18"/>
  <c r="F137" i="18"/>
  <c r="E138" i="18"/>
  <c r="F138" i="18" s="1"/>
  <c r="E139" i="18"/>
  <c r="F139" i="18" s="1"/>
  <c r="F140" i="18"/>
  <c r="F141" i="18"/>
  <c r="F142" i="18"/>
  <c r="F143" i="18"/>
  <c r="E144" i="18"/>
  <c r="F144" i="18" s="1"/>
  <c r="F145" i="18"/>
  <c r="E146" i="18"/>
  <c r="F146" i="18" s="1"/>
  <c r="F147" i="18"/>
  <c r="F148" i="18"/>
  <c r="F149" i="18"/>
  <c r="F150" i="18"/>
  <c r="F151" i="18"/>
  <c r="F152" i="18"/>
  <c r="F153" i="18"/>
  <c r="E154" i="18"/>
  <c r="F154" i="18" s="1"/>
  <c r="F155" i="18"/>
  <c r="F156" i="18"/>
  <c r="E157" i="18"/>
  <c r="F157" i="18" s="1"/>
  <c r="F158" i="18"/>
  <c r="E159" i="18"/>
  <c r="F159" i="18" s="1"/>
  <c r="F160" i="18"/>
  <c r="E161" i="18"/>
  <c r="F161" i="18" s="1"/>
  <c r="F162" i="18"/>
  <c r="F163" i="18"/>
  <c r="E164" i="18"/>
  <c r="F164" i="18" s="1"/>
  <c r="F165" i="18"/>
  <c r="F166" i="18"/>
  <c r="F167" i="18"/>
  <c r="F168" i="18"/>
  <c r="E169" i="18"/>
  <c r="F169" i="18" s="1"/>
  <c r="F170" i="18"/>
  <c r="E171" i="18"/>
  <c r="F171" i="18" s="1"/>
  <c r="E172" i="18"/>
  <c r="F172" i="18" s="1"/>
  <c r="E173" i="18"/>
  <c r="F173" i="18" s="1"/>
  <c r="F174" i="18"/>
  <c r="E175" i="18"/>
  <c r="F175" i="18" s="1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G195" i="18"/>
  <c r="I195" i="18"/>
  <c r="B202" i="18"/>
  <c r="B224" i="18" s="1"/>
  <c r="G203" i="18"/>
  <c r="F205" i="18"/>
  <c r="F212" i="18"/>
  <c r="F121" i="18"/>
  <c r="E25" i="18" l="1"/>
  <c r="E195" i="18"/>
  <c r="H195" i="18" s="1"/>
  <c r="J195" i="18" s="1"/>
  <c r="E61" i="18"/>
  <c r="F201" i="18" s="1"/>
  <c r="F224" i="18" s="1"/>
  <c r="F225" i="18" s="1"/>
  <c r="H61" i="18" l="1"/>
  <c r="M224" i="18"/>
  <c r="H203" i="18"/>
</calcChain>
</file>

<file path=xl/sharedStrings.xml><?xml version="1.0" encoding="utf-8"?>
<sst xmlns="http://schemas.openxmlformats.org/spreadsheetml/2006/main" count="772" uniqueCount="584">
  <si>
    <t>ПОЯСНИТЕЛЬНАЯ ЗАПИСКА</t>
  </si>
  <si>
    <t>Наименование</t>
  </si>
  <si>
    <t>БК</t>
  </si>
  <si>
    <t xml:space="preserve">Было </t>
  </si>
  <si>
    <t>изменения</t>
  </si>
  <si>
    <t>Стало</t>
  </si>
  <si>
    <t>ИТОГО</t>
  </si>
  <si>
    <t>тыс.руб.</t>
  </si>
  <si>
    <t>Управление образования</t>
  </si>
  <si>
    <t>Итого</t>
  </si>
  <si>
    <t>Доходы</t>
  </si>
  <si>
    <t>Расходы</t>
  </si>
  <si>
    <t>Субсидии</t>
  </si>
  <si>
    <t>Субвенции</t>
  </si>
  <si>
    <t>Управление культуры</t>
  </si>
  <si>
    <t>Наименование доходов</t>
  </si>
  <si>
    <t>ожидаемое исполнение за год</t>
  </si>
  <si>
    <t>+,- к плану года</t>
  </si>
  <si>
    <t>План уточненный - основание</t>
  </si>
  <si>
    <t>Плата за выбросы загрязняющих веществ в атмосферный воздух стационарными объектами</t>
  </si>
  <si>
    <t xml:space="preserve">      </t>
  </si>
  <si>
    <t>тыс. руб</t>
  </si>
  <si>
    <t>Налоговые и неналоговые доходы</t>
  </si>
  <si>
    <t>Плата за размещение отходов производства и потребления</t>
  </si>
  <si>
    <t>Денежные взыскания (штрафы) за нарушение законодательства Российской Федерации об административных правонарушениях, предусмотренных статьей 20.25 Кодекса  Российской Федерации об административных правонарушениях</t>
  </si>
  <si>
    <t>УСЗН</t>
  </si>
  <si>
    <t>УЖКХ</t>
  </si>
  <si>
    <t>Субсидии, субвенции, межбюджетные трансферты</t>
  </si>
  <si>
    <t>Иные межбюджетные трансферты</t>
  </si>
  <si>
    <r>
      <rPr>
        <b/>
        <sz val="13"/>
        <rFont val="Times New Roman"/>
        <family val="1"/>
        <charset val="204"/>
      </rPr>
      <t>2.2.</t>
    </r>
    <r>
      <rPr>
        <sz val="13"/>
        <rFont val="Times New Roman"/>
        <family val="1"/>
        <charset val="204"/>
      </rPr>
      <t xml:space="preserve"> По ходатайствам бюджетных учреждений:</t>
    </r>
  </si>
  <si>
    <t>Администрация</t>
  </si>
  <si>
    <t>Увеличиваются ассигнования:</t>
  </si>
  <si>
    <t>Переносятся ассигнования с одного вида расходов на другой: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</si>
  <si>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</si>
  <si>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КУМИ</t>
  </si>
  <si>
    <t>Переносятся ассигнования с одной целевой статьи на другую:</t>
  </si>
  <si>
    <t>Финансовое управление</t>
  </si>
  <si>
    <r>
      <rPr>
        <u/>
        <sz val="13"/>
        <rFont val="Times New Roman"/>
        <family val="1"/>
        <charset val="204"/>
      </rPr>
      <t>Уменьшаются ассигнования:</t>
    </r>
    <r>
      <rPr>
        <sz val="13"/>
        <rFont val="Times New Roman"/>
        <family val="1"/>
        <charset val="204"/>
      </rPr>
      <t/>
    </r>
  </si>
  <si>
    <t>По Администрации:</t>
  </si>
  <si>
    <t>911 0702 051 00 71820 200</t>
  </si>
  <si>
    <t>913 0801 060 00 11400 600</t>
  </si>
  <si>
    <t>913 0804 060 00 14520 100</t>
  </si>
  <si>
    <t>913 0801 060 00 12410 600</t>
  </si>
  <si>
    <t>911 0702 051 00 11210 600</t>
  </si>
  <si>
    <t>900 0104 011 00 11020 100</t>
  </si>
  <si>
    <t>900 0104 011 00 11020 200</t>
  </si>
  <si>
    <t>План на 2016 год</t>
  </si>
  <si>
    <t>Государственная пошлина за выдачу и обмен паспорта гражданина Российской Федерации</t>
  </si>
  <si>
    <t>Государственная пошлина за гос.регестрацию прав,ограничений прав на недвижимое имущество и сделок сним</t>
  </si>
  <si>
    <t>Денежные взыскания (штрафы) 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</si>
  <si>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900 0102 011 00 11010 100</t>
  </si>
  <si>
    <t>915 1003 086 00 52200 300</t>
  </si>
  <si>
    <t>911 0709 051 00 17010 600</t>
  </si>
  <si>
    <t>913 0801 060 00 13420 600</t>
  </si>
  <si>
    <t>913 0702 051 00 11230 600</t>
  </si>
  <si>
    <t>919 0502 103 00 11200 800</t>
  </si>
  <si>
    <t>900 0501 044 00 11200 200</t>
  </si>
  <si>
    <t>900 0113 014 00 11400 600</t>
  </si>
  <si>
    <t>900 0901 083 00 14900 600</t>
  </si>
  <si>
    <t>915 1006 081 00 11400 300</t>
  </si>
  <si>
    <t>915 1006 081 00 11400 200</t>
  </si>
  <si>
    <t>900 0104 011 00 11020 800</t>
  </si>
  <si>
    <t>900 1006 015 00 15010 200</t>
  </si>
  <si>
    <t>900 1006 015 00 15010 300</t>
  </si>
  <si>
    <t>900 0113 130 00 11170 600</t>
  </si>
  <si>
    <t>919 0409 111 00 11120 600</t>
  </si>
  <si>
    <t>Начальник финансового управления г. Анжеро-Судженска-</t>
  </si>
  <si>
    <t>Е.Н. Зачиняева</t>
  </si>
  <si>
    <t>900 0501 043 00 S9602 400</t>
  </si>
  <si>
    <t>911 0702 051 00 71930 200</t>
  </si>
  <si>
    <t>По Управлению образования:</t>
  </si>
  <si>
    <t>855 0111 015 00  13070 800</t>
  </si>
  <si>
    <t>По УСЗН:</t>
  </si>
  <si>
    <t>913 0804 060 00 14040 100</t>
  </si>
  <si>
    <t>913 0804 060 00 14520 800</t>
  </si>
  <si>
    <t>919 0502 101 00 12300 400</t>
  </si>
  <si>
    <t>Единый сельскохозяйственный налог</t>
  </si>
  <si>
    <t>Плата за выбросы загрязняющих веществ в атмосферный воздух передвижными объектами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</si>
  <si>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</si>
  <si>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к проекту решения  «О внесении изменений в решение  Совета народных депутатов  Анжеро-Судженского городского округа от 24.12.2015  № 392 «О  бюджете  муниципального образования «Анжеро-Судженский городской округ» на 2016 год »</t>
  </si>
  <si>
    <t>По Администрации города:</t>
  </si>
  <si>
    <t xml:space="preserve"> - за счет дополнительно полученных доходов:</t>
  </si>
  <si>
    <t>900 0104 011 00 11030 100</t>
  </si>
  <si>
    <t>900 0113 015 00 94040 300</t>
  </si>
  <si>
    <t>Прочие безвозмездные поступления</t>
  </si>
  <si>
    <t>Уменьшаются ассигнования:</t>
  </si>
  <si>
    <t xml:space="preserve">Администрации города: </t>
  </si>
  <si>
    <t xml:space="preserve"> - за счет финансовой помощи:</t>
  </si>
  <si>
    <t>Администрация  почетные граждане 100%</t>
  </si>
  <si>
    <t>Техприсоединение теплотрассы Вост.района</t>
  </si>
  <si>
    <r>
      <rPr>
        <b/>
        <sz val="13"/>
        <rFont val="Times New Roman"/>
        <family val="1"/>
        <charset val="204"/>
      </rPr>
      <t>1</t>
    </r>
    <r>
      <rPr>
        <sz val="13"/>
        <rFont val="Times New Roman"/>
        <family val="1"/>
        <charset val="204"/>
      </rPr>
      <t>. Изменения по доходам вносятся:</t>
    </r>
  </si>
  <si>
    <r>
      <rPr>
        <b/>
        <sz val="13"/>
        <rFont val="Times New Roman"/>
        <family val="1"/>
        <charset val="204"/>
      </rPr>
      <t>1.2</t>
    </r>
    <r>
      <rPr>
        <sz val="13"/>
        <rFont val="Times New Roman"/>
        <family val="1"/>
        <charset val="204"/>
      </rPr>
      <t>. Вносятся изменения в план по доходам налоговых и  неналоговых платежей:</t>
    </r>
  </si>
  <si>
    <t>900 0309 031 00 11000 200</t>
  </si>
  <si>
    <t>919 0309 031 00 11000 600</t>
  </si>
  <si>
    <t>919 0502 103 00 13500 800</t>
  </si>
  <si>
    <t>900 1003 072 00 73221 300</t>
  </si>
  <si>
    <t>915 1003 086 00 52200 200</t>
  </si>
  <si>
    <t>919 0409 112 00 11110 600</t>
  </si>
  <si>
    <t>900 0309 031 00 13000 200</t>
  </si>
  <si>
    <t>919 0505 104 00 11040 200</t>
  </si>
  <si>
    <t>915 1002 085 00 70170 800</t>
  </si>
  <si>
    <t>915 1002 085 00 70170 200</t>
  </si>
  <si>
    <t>915 1003 086 00 70050 300</t>
  </si>
  <si>
    <t>911 1003 086 00 70050 600</t>
  </si>
  <si>
    <t>915 1003 086 00 80100 300</t>
  </si>
  <si>
    <t>915 1004 096 00 52700 300</t>
  </si>
  <si>
    <t>915 1004 086 00 53800 300</t>
  </si>
  <si>
    <t>915 0707 052 00 70490 100</t>
  </si>
  <si>
    <t xml:space="preserve"> - на ежемесячное обеспечение детей, страдающих онкологическими заболеваниями, денежной выплатой на 11,1т.р.</t>
  </si>
  <si>
    <t>КФКиС</t>
  </si>
  <si>
    <t>904 0709 051 00 15520 100</t>
  </si>
  <si>
    <t>904 0709 051 00 15520 200</t>
  </si>
  <si>
    <t>904 0709 051 00 15520 600</t>
  </si>
  <si>
    <t xml:space="preserve"> - на реализацию мер в области молодежной политики в сумме 33,8т.р. (зарплата молодежным трудовым отрядам);
 - на обновление компьюьерного оборудования аппарату УСЗН, в соответствии с письмом Департамента социальной защиты населения от 17.05.2016г. № 12-2726, на сумму 100,0 т.р.</t>
  </si>
  <si>
    <t>915 1006 084 00 70280 200</t>
  </si>
  <si>
    <t>915 1002 085 00 11050 200</t>
  </si>
  <si>
    <t>915 1002 085 00 11050 100</t>
  </si>
  <si>
    <t>900 0901 071 00 54920 600</t>
  </si>
  <si>
    <t>911 0701 083 00 R0271 200</t>
  </si>
  <si>
    <t>911 0701 051 00 11200 200</t>
  </si>
  <si>
    <t>911 0701 083 00 L0271 200</t>
  </si>
  <si>
    <t>По Администрации:
 - в связи с необходимостью оплаты жилищной субсидии работникам бюджетной сферы в сумме 62,5т.р.</t>
  </si>
  <si>
    <t xml:space="preserve">905 0113 020 00 14000 200 </t>
  </si>
  <si>
    <t xml:space="preserve">905 0113 020 00 16000 200 </t>
  </si>
  <si>
    <t>905 0412 020 00 12000 200</t>
  </si>
  <si>
    <t>905 0113 020 00 18000 800</t>
  </si>
  <si>
    <t>По УЖКХ:
 - в связи с поступление денежных средств из областого бюджета на строительство теплотрассы в Восточном жилом районе в сумме 43000,0 т.р.</t>
  </si>
  <si>
    <t>915 1003 086 00 80010 300</t>
  </si>
  <si>
    <t xml:space="preserve"> - на оплату жилья и коммунальных услуг отдельным категориям граждан на - 7428,0т.р.;
 - на выплату единовременного пособия беременной жене военнослужащего, проходящего военную службу по призыву в сумме - 100,0т.р.;
 - на меры соц.поддержки семей, имеющих детей (материнский капитал) в сумме - 1200,0т.р.</t>
  </si>
  <si>
    <t xml:space="preserve"> - за счет увеличения дотации из областного бюджета на выравнивание бюджетной обеспеченности на 24924,0т.р.:</t>
  </si>
  <si>
    <t xml:space="preserve"> - на денежные выплаты гражданам, имеющим звание "Почетный гражданин Анжеро-Судженского городского округа" (дополнительно на 1 чел.) в сумме - 64,9т.р.</t>
  </si>
  <si>
    <t xml:space="preserve"> - на доведение до 100% ФОТ Администрации города в сумме - 7447,0т.р.</t>
  </si>
  <si>
    <t xml:space="preserve"> - на доведение до 100% ФОТ ОООП в сумме - 1543,8т.р.</t>
  </si>
  <si>
    <t xml:space="preserve"> - на доведение до 100% ФОТ МФЦ (рассчитан по факту за 6 мес.2016г. + по начислению июня доведено до года + фот на 1 чел. на 6 мес, всего на 42 шт.ед.) в сумме - 4609,7т.р.</t>
  </si>
  <si>
    <t xml:space="preserve"> - на доведение до 100% ФОТ (аппарат) в сумме - 213,7т.р.</t>
  </si>
  <si>
    <t xml:space="preserve"> - на доведение до 100% ФОТ учреждений КФКиС в сумме - 1301,5т.р.</t>
  </si>
  <si>
    <t xml:space="preserve"> - на доведение до 100% ФОТ  в сумме - 1554,3т.р.</t>
  </si>
  <si>
    <t xml:space="preserve"> - на доведение до 100% ФОТ (аппарат) в сумме - 213,6т.р.</t>
  </si>
  <si>
    <t xml:space="preserve"> - на доведение до 100% ФОТ (аппарат) в сумме - 930,4т.р.</t>
  </si>
  <si>
    <t xml:space="preserve"> - на доведение до 100% ФОТ  УЖ в сумме - 2190,4т.р.</t>
  </si>
  <si>
    <t xml:space="preserve"> - на  приобретение компьютерного оборудования - 83,4т.р.</t>
  </si>
  <si>
    <t xml:space="preserve"> - на доведение до 100% ФОТ  АДС в сумме - 1589,0т.р., в том числе на ЕДДС - 195,8т.р., АДС - 1393,2т.р.</t>
  </si>
  <si>
    <t>911 0709 053 00 11040 100</t>
  </si>
  <si>
    <t xml:space="preserve"> - на доведение до 100% ФОТ (аппарат) в сумме - 670,6т.р.</t>
  </si>
  <si>
    <t>919 0505 102 00 11900 600</t>
  </si>
  <si>
    <t>919 0505 104 00 11040 100</t>
  </si>
  <si>
    <t>919 0505 116 00 11900 600</t>
  </si>
  <si>
    <t>904 1101 090 00 11010 600</t>
  </si>
  <si>
    <t>904 1105 090 00 11040 100</t>
  </si>
  <si>
    <t>900 0309 031 00 13000 100</t>
  </si>
  <si>
    <t xml:space="preserve"> - на доведение до 100% ФОТ ГО и ЧС в сумме - 849,0т.р.</t>
  </si>
  <si>
    <t>900 0113 033 00 11150 100</t>
  </si>
  <si>
    <t>905 0113 020 00 19000 100</t>
  </si>
  <si>
    <t>Дотации</t>
  </si>
  <si>
    <t>Доведение до 100% ФОТ Администрации</t>
  </si>
  <si>
    <t>Доведение до 100% ФОТ ГОиЧС</t>
  </si>
  <si>
    <t>Доведение до 100% ФОТ ОООП</t>
  </si>
  <si>
    <t>Доведение до 100% ФОТ КФКиС аппарат</t>
  </si>
  <si>
    <t xml:space="preserve">Доведение до 100% ФОТ учреждений КФКиС </t>
  </si>
  <si>
    <t>Доведение до 100% ФОТ Управлению культуры аппарат</t>
  </si>
  <si>
    <t xml:space="preserve">ФОТ учреждениям Управленя  культуры </t>
  </si>
  <si>
    <t>Доведение до 100% ФОТ КУМИ</t>
  </si>
  <si>
    <t>Доведение до 100% ФОТ Управлению образованияаппарат</t>
  </si>
  <si>
    <t>Доведение до 100% ФОТ УЖКХ</t>
  </si>
  <si>
    <t>Доведение до 100% ФОТ АДС</t>
  </si>
  <si>
    <t>ФОТ МФЦ (42 шт.ед.)</t>
  </si>
  <si>
    <t>Архив прочие</t>
  </si>
  <si>
    <t>УЖКХ компьютер</t>
  </si>
  <si>
    <t>Доведение до МРОТ ФОТ АХО</t>
  </si>
  <si>
    <t>900 0104 011 00 11030 200</t>
  </si>
  <si>
    <t xml:space="preserve">на трудоустройство несовершеннолетних подростков за счет поступившей финпомощи от ЗАО "Управляющая компания КЕМ-ОЙЛ" </t>
  </si>
  <si>
    <t xml:space="preserve"> - по муниципальной программе "Обеспечение доступным и комфортным жильем и коммунальными услугами" для погашения кредиторской задолженности за технологическое присоединение (эл-во) перед ООО КЭнК в Восточном районе в сумме 3000,0 т.р.; для погашения кредиторской задолженности по исполнительному листу КЭСК в сумме 45,0т.р.</t>
  </si>
  <si>
    <t>900 0501 044 00 11200 800</t>
  </si>
  <si>
    <t>900 1003 042 00 L0200 300</t>
  </si>
  <si>
    <t xml:space="preserve"> - от ЗАО "Управляющая компания КЕМ-ОЙЛ" для Управления образованя на трудоустройство несовершеннолетних подростков в период летних каникул в количестве 18 чел. (9 чел. МБОУ "ООШ №8" и 9 чел. МБОУ "СОШ №22") в сумме - 45,0т.р.:</t>
  </si>
  <si>
    <t xml:space="preserve"> - от продажи муниципальных земель в сумме 1500,0т.р. на погашение задолженности за технологическое присоединение  теплоснабжения в Восточном районе. </t>
  </si>
  <si>
    <t>911 0709 053 00 11520 200</t>
  </si>
  <si>
    <t>911 0709 053 00 11520 100</t>
  </si>
  <si>
    <t>911 0702 051 00 12220 200</t>
  </si>
  <si>
    <t>911 0709 053 00 11350 600</t>
  </si>
  <si>
    <t>911 0701 051 00 11200 100</t>
  </si>
  <si>
    <t>911 0701 051 00 11200 600</t>
  </si>
  <si>
    <t>911 0709 053 00 11520 600</t>
  </si>
  <si>
    <t>911 0702 051 00 71820 800</t>
  </si>
  <si>
    <t>По Управлению образования:
 - в связи с необходимостью оплаты пеней и госпошлин, задолженности по гсм в сумме 610,0 т.р.;
 - для оплаты за коммунальные услуги в сумме 535,0т.р.</t>
  </si>
  <si>
    <t>911 0702 051 00 11230 600</t>
  </si>
  <si>
    <t xml:space="preserve"> - по муниципальной программе  «Обеспечение общественного порядка, пожарной безопасности и защита от чрезвычайных ситуаций» на 2015-2018 гг.» для оплаты услуг спецсвязи, приобретения канцтоваров, гсм в сумме 21,5 т.р.;
 - для расчетов с БиО за уборку снега в сумме 100,0тыс.руб.;
 - по ГОиЧС для возмещения командировочных расходов на обучение в сумме - 30,0тыс.руб.</t>
  </si>
  <si>
    <t>900 0309 032 00 12700 200</t>
  </si>
  <si>
    <t>900 0309 032 00 13700 200</t>
  </si>
  <si>
    <t>900 0309 032 00 13700 300</t>
  </si>
  <si>
    <t>По КФКиС:
 - в связи с реорганизацией КФКиС в форме выделения из его состава нового юридического лица МБУ "Централизованная бухгалтерия комитета по физической культуре и спорту администрации Анжеро-Судженского городского округа" в сумме 391,4 т.р.;</t>
  </si>
  <si>
    <t>По УСЗН:
 - для оказания адресной помощи гражданам города по программе "Милосердие" в сумме 14,7 т.р.;</t>
  </si>
  <si>
    <t>905 0113 020 00 19000 200</t>
  </si>
  <si>
    <t>Источники финансирования дефицита бюджета</t>
  </si>
  <si>
    <t xml:space="preserve"> - за счет увеличения источников финансирования дефицита бюджета:</t>
  </si>
  <si>
    <t xml:space="preserve"> - на ежегодную денежную выплату лицам, награжденным нагрудным знаком "Почетный донор России" на 575,9т.р.;
 - на выплату гос.пособий лицам, не подлежащим обязательному социальному страхованию на случай временной нетрудоспособности в связми с материнством, и лицам, уволенным в связи с ликвидацией организаций в сумме - 300,0т.р.;</t>
  </si>
  <si>
    <t xml:space="preserve"> - на  обеспечение медицинской деятельности, связанной с донорством органов человека в целях трансплантации на в сумме - 720,0т.р.</t>
  </si>
  <si>
    <t>По Управлению образования:
 - на меры соц.поддержки многодетных семей (питание детей из многодетных семей) в сумме - 779,0 т.р.;
 - на реализацию мероприятий государственной прогрммы РФ "Доступная среда" на 2011-2020годы  (детский сад №3: замена пандуса, приобретение теневых навесов с поручнями, замена линолиума, оборудование для туалетных комнат для детей-инвалидов) в сумме - 815,7т.р.</t>
  </si>
  <si>
    <t>По КУМИ:
 - в связи с ликвидацией МП БСК "Одиссей" и необходимостью оплаты сложившейся задолженности (зарплата, коммунальные, прочие), так как КУМИ несет ответственность как учредитель при ликвидации учреждения, в сумме 900,0т.р.</t>
  </si>
  <si>
    <t>Переносятся ассигнования с одного ГРБС на другого:</t>
  </si>
  <si>
    <t xml:space="preserve"> - по муниципальной программе "Обеспечение доступным и комфортным жильем и коммунальными услугами", в связи с отсутствием необходимости и 100% финансированием доли софинансирования местного бюджета на приобретение жилья молодым семьям (4 семьи), ассигнования в сумме - 797,6тыс.руб. переносятнся на резервный фонд.</t>
  </si>
  <si>
    <t>По Администрации:
 - для оплаты за гсм, приобретение компьютера, ремонт МФУ, командировочные в сумме 100,0 т.р.;
 - для оплаты исполнительного листа ОАО "Кузбассэнергосбыт" в сумме - 26,8т.р.;
 - на командировочные расходы в сумме 100,0тыс.руб.;
 - для уплаты ежегодных взносов в Совет муниципальных образований в сумме - 97,2тыс.руб.;
 - по ГОиЧС для выплаты материального стимулирования добровольным пожарным в сумме 52,0тыс.руб.</t>
  </si>
  <si>
    <t>По Управлению образования:
 - для оплаты компенсации матерям до 3-х лет в сумме 1,0 т.р.;
 - в связи с увеличением МРОТ перераспределяются ассигнования на заработную плату в детских садах в сумме 374,3т.р.;
 - для оплаты пеней, штрафов по исполнительным листам ДД"Росток" в сумме 80,0т.р.;</t>
  </si>
  <si>
    <t>По управлению культуры:
 - для подготовки и проведения мероприятий, посвященных празднованию Дня шахтера, оплаты задолженности по исполнительным листам КомСАХ в сумме 18,8 т.р.</t>
  </si>
  <si>
    <t>По КУМИ:
 - в связи необходимостью оплаты труда по договорам ГПХ, оплаты за услуги  "Почта России", за приобретение канцтоваров на  сумму -  220,0 т.р.</t>
  </si>
  <si>
    <t>Факт на 01.08.2016</t>
  </si>
  <si>
    <t>530,0(по факту поступления на 01.08.16г)</t>
  </si>
  <si>
    <t>573,0 (по факту поступления на 01.08.16г,)</t>
  </si>
  <si>
    <t>120,0  (по факту поступления на 01.08.16г,)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</si>
  <si>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</si>
  <si>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398,0 (по факту поступления на 01.08.2016г)</t>
  </si>
  <si>
    <t>22,0(по факту поступления на 01.08.2016г)</t>
  </si>
  <si>
    <t>1512,0 (по факту поступления на 01.08.2016г)</t>
  </si>
  <si>
    <t xml:space="preserve">1500,0(письмо КУМИ от 09.08.2016г №580)             </t>
  </si>
  <si>
    <t>158,0 (по факту поступления на 01.08.2016г)</t>
  </si>
  <si>
    <t>Денежные взыскания(штрафы)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</si>
  <si>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12,0 (по факту поступления на 01.08.2016г)</t>
  </si>
  <si>
    <t>239,0 (по факту поступления на 01.08.2016г)</t>
  </si>
  <si>
    <t>81,0 (по факту поступления на 01.08.2016г)</t>
  </si>
  <si>
    <t>Денежные взыскания (штрафы)  за административные правонарушения в области государственного регулирования производства и оборота табачной продукции</t>
  </si>
  <si>
    <t>40,0 (по факту поступления на 01.08.2016г)</t>
  </si>
  <si>
    <t>4822,0 (по факту поступления на 01.08.2016г)</t>
  </si>
  <si>
    <t>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</si>
  <si>
    <t>10% согласно баланса финансово хозяйственной деятельности предприятий за 2015год</t>
  </si>
  <si>
    <t xml:space="preserve"> - на доведение до МРОТ ФОТ АХО в сумме - 228,4т.р.</t>
  </si>
  <si>
    <t xml:space="preserve"> - на ФОТ учреждений управления культуры в сумме - 1215,1т.р.</t>
  </si>
  <si>
    <t xml:space="preserve"> - на доступную среду для детей-инвалидов в составе субсидии "Развитие единого образовательного пространства, повышение качества образовательных результатов в рамках подпрограммы «Развитие дошкольного, общего образования и дополнительного образования детей»  (детский сад №3: замена пандуса, приобретение теневых навесов с поручнями, замена линолиума, оборудование для туалетных комнат для детей-инвалидов) на 816,0 т.р. ;</t>
  </si>
  <si>
    <t>По УЖКХ:
-  для оплаты кредиторской задолжености за электроэнергию, доставку песка, штрафа ГИБДД в сумме 3000,0 т.р.;
 - для бесперебойной работы отдела УЖКХ в опрерационных системах, на приобретение компьютеров в сумме 1,1 т.р.;</t>
  </si>
  <si>
    <t>По УСЗН:
 - в связи с увеличением кадастровой стоимости земли, на основаниии ходатайства МКУ "Реабилитационный центр для детей и подростков" для оплаты земельного налога в сумме 34,1 т.р.;
 - в связи с увеличением МРОТ с 1.07.2016г., для оплаты заработной платы молодежным отрядам в сумме - 1,2т.р.</t>
  </si>
  <si>
    <t xml:space="preserve"> - Архиву на погашение кредиторской задолженности за технологическое присоединение к электрическим сетям ОАО "Кузбассэнергосбыт", за проектные работы ООО "Электротехпроект", на возмещение коммунальных услуг ОАО "Анжеромаш", на обучение пожарно-техническому минимуму для руководителей в РППЦ "Тетраком" в сумме - 219,6т.р.</t>
  </si>
  <si>
    <t xml:space="preserve">Управлоению культуры: </t>
  </si>
  <si>
    <t xml:space="preserve"> - на ФОТ учреждений в сумме - 2497,1т.р.</t>
  </si>
  <si>
    <t>4.  Итог сбалансированности бюджета:</t>
  </si>
  <si>
    <r>
      <t>1.1.1.</t>
    </r>
    <r>
      <rPr>
        <b/>
        <u/>
        <sz val="13"/>
        <rFont val="Times New Roman"/>
        <family val="1"/>
        <charset val="204"/>
      </rPr>
      <t xml:space="preserve"> дотации  </t>
    </r>
    <r>
      <rPr>
        <sz val="13"/>
        <rFont val="Times New Roman"/>
        <family val="1"/>
        <charset val="204"/>
      </rPr>
      <t xml:space="preserve">увеличиваются на 24924,0 на тыс руб: </t>
    </r>
  </si>
  <si>
    <r>
      <t xml:space="preserve">1.1.2. </t>
    </r>
    <r>
      <rPr>
        <b/>
        <u/>
        <sz val="13"/>
        <rFont val="Times New Roman"/>
        <family val="1"/>
        <charset val="204"/>
      </rPr>
      <t>субсидии</t>
    </r>
    <r>
      <rPr>
        <sz val="13"/>
        <rFont val="Times New Roman"/>
        <family val="1"/>
        <charset val="204"/>
      </rPr>
      <t xml:space="preserve"> увеличиваются на  33,5 на тыс руб: </t>
    </r>
  </si>
  <si>
    <r>
      <t xml:space="preserve">1.1.3 </t>
    </r>
    <r>
      <rPr>
        <b/>
        <u/>
        <sz val="13"/>
        <rFont val="Times New Roman"/>
        <family val="1"/>
        <charset val="204"/>
      </rPr>
      <t>субвенции</t>
    </r>
    <r>
      <rPr>
        <sz val="13"/>
        <rFont val="Times New Roman"/>
        <family val="1"/>
        <charset val="204"/>
      </rPr>
      <t xml:space="preserve"> уменьшаются на 6962,1 тыс. руб.:  </t>
    </r>
  </si>
  <si>
    <r>
      <t xml:space="preserve">1.1.4 </t>
    </r>
    <r>
      <rPr>
        <b/>
        <u/>
        <sz val="13"/>
        <rFont val="Times New Roman"/>
        <family val="1"/>
        <charset val="204"/>
      </rPr>
      <t>иные межбюджетные трансферты</t>
    </r>
    <r>
      <rPr>
        <sz val="13"/>
        <rFont val="Times New Roman"/>
        <family val="1"/>
        <charset val="204"/>
      </rPr>
      <t xml:space="preserve"> увеличиваются на 720,0 тыс.рублей</t>
    </r>
  </si>
  <si>
    <r>
      <t>Денежные взыскания (штрафы) за нарушение законодательства о налогах и сборах, предусмотренные ст. 116, 118, 119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п. 1 и 2 ст. 120, ст.125, 126, 128, 129, 129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>, 132, 133, 134, 135, 135</t>
    </r>
    <r>
      <rPr>
        <vertAlign val="superscript"/>
        <sz val="11"/>
        <rFont val="Times"/>
        <family val="1"/>
      </rPr>
      <t>1</t>
    </r>
    <r>
      <rPr>
        <sz val="11"/>
        <rFont val="Times"/>
        <family val="1"/>
      </rPr>
      <t xml:space="preserve">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  </r>
  </si>
  <si>
    <r>
      <rPr>
        <b/>
        <sz val="13"/>
        <rFont val="Times New Roman"/>
        <family val="1"/>
        <charset val="204"/>
      </rPr>
      <t>2.</t>
    </r>
    <r>
      <rPr>
        <sz val="13"/>
        <rFont val="Times New Roman"/>
        <family val="1"/>
        <charset val="204"/>
      </rPr>
      <t xml:space="preserve"> Изменения по расходам местного бюджета вносятся (приложения № 2, 3, 4): </t>
    </r>
  </si>
  <si>
    <r>
      <rPr>
        <b/>
        <sz val="13"/>
        <rFont val="Times New Roman"/>
        <family val="1"/>
        <charset val="204"/>
      </rPr>
      <t>2.1.</t>
    </r>
    <r>
      <rPr>
        <sz val="13"/>
        <rFont val="Times New Roman"/>
        <family val="1"/>
        <charset val="204"/>
      </rPr>
      <t xml:space="preserve">  На основании   Закона Кемеровской  области от 12.07.2016г №56-ОЗ "О внесении изменений в закон Кемеровской области "Об областном бюджете на 2016 год", Департамента социальной защиты населения Кемеровской области от 27.06.2016г. № 715, от 4.08.2016г. № 856.</t>
    </r>
  </si>
  <si>
    <r>
      <t>Переносятся ассигнования с одной БК на другую:</t>
    </r>
    <r>
      <rPr>
        <sz val="13"/>
        <rFont val="Times New Roman"/>
        <family val="1"/>
        <charset val="204"/>
      </rPr>
      <t xml:space="preserve">
По Управлению образования:
  - для софинансирования мероприятий государственной программы РФ "Доступная среда" на 2011-2020 годы, в соответствии с соглашением на создание в дошкольных образовательных организациях условий для инклюзивного образования детей-инвалидов, в том числе создание универсальной безбарьерной среды для беспрепятственного доступа для детей-инвалидов  в сумме 82,0 т.р.;</t>
    </r>
  </si>
  <si>
    <t>3. По источникам финансирования:
 В связи с поступлением дополнительных доходов увеличиваются источники финансирования дефицита бюджета по строке "Получение кредитов от кредитных организаций бюджетами городских округов в валюте Российской Федерации" на 2497,1 т.р. (или до 10 % от объема доходов местного бюджета на 2016 год без учета безвозмездных поступлений и дополнительного норматива отчислений от налога на доходы физических лиц, без учета снижения остатков средств на счетах по учету средств местного бюджета).</t>
  </si>
  <si>
    <r>
      <rPr>
        <b/>
        <sz val="13"/>
        <rFont val="Times New Roman"/>
        <family val="1"/>
        <charset val="204"/>
      </rPr>
      <t>1.3</t>
    </r>
    <r>
      <rPr>
        <sz val="13"/>
        <rFont val="Times New Roman"/>
        <family val="1"/>
        <charset val="204"/>
      </rPr>
      <t xml:space="preserve"> В связи с дополнительным поступлением доходов увеличиваются прочие безвозмездные поступления на сумму 65,0 тыс.рублей.:    в т.ч. финпомощь от ЗАО "Управляющая компания КЕМ-ОЙЛ" 45,0тыс.руб.; 20,0 тыс.руб. финпомощь от Н.К.Крушинского</t>
    </r>
  </si>
  <si>
    <t>ИТОГО доходов собственной базы:1500,0+65,0=1565,0 тыс. рублей</t>
  </si>
  <si>
    <t>Переносятся ассигнования с одной БК на другую:</t>
  </si>
  <si>
    <t xml:space="preserve"> </t>
  </si>
  <si>
    <t>формулы
 доходы</t>
  </si>
  <si>
    <t>к  решению  «О внесении изменений в решение  Совета народных депутатов  Анжеро-Судженского городского округа от 20.12.2018  № 167 «О  бюджете  муниципального образования «Анжеро-Судженский городской округ» на 2019 год  и на плановый период  2020 и 2021 годов»</t>
  </si>
  <si>
    <t>(тыс.руб.)</t>
  </si>
  <si>
    <t>913 0703 051 00 11231 600</t>
  </si>
  <si>
    <t>итого</t>
  </si>
  <si>
    <t>План на 2019 год</t>
  </si>
  <si>
    <t>Налоговые неналоговые доходы</t>
  </si>
  <si>
    <t>911 0701 051 00 11202 600</t>
  </si>
  <si>
    <t>911 0703 051 00 11231 600</t>
  </si>
  <si>
    <t>911 0701 032 00 11701 600</t>
  </si>
  <si>
    <t>911 0701 032 00 11701 200</t>
  </si>
  <si>
    <t>1.2. Вносятся изменения в план по доходам налоговых и  неналоговых платежей на 2019 год:</t>
  </si>
  <si>
    <t>по Управлению образования:</t>
  </si>
  <si>
    <t>911 0702 051 00 12221 200</t>
  </si>
  <si>
    <t>911 0702 032 00 11701 600</t>
  </si>
  <si>
    <t>911 0703 032 00 11701 600</t>
  </si>
  <si>
    <t>Субсидии, субвенции, иные межбюджетные трансферты</t>
  </si>
  <si>
    <r>
      <rPr>
        <b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. Изменения по доходам вносятся на 2019 год:</t>
    </r>
  </si>
  <si>
    <t>911 0701 051 00 11202 800</t>
  </si>
  <si>
    <t>дополнительно</t>
  </si>
  <si>
    <r>
      <rPr>
        <b/>
        <sz val="14"/>
        <rFont val="Times New Roman"/>
        <family val="1"/>
        <charset val="204"/>
      </rPr>
      <t xml:space="preserve">1.3. </t>
    </r>
    <r>
      <rPr>
        <sz val="14"/>
        <rFont val="Times New Roman"/>
        <family val="1"/>
        <charset val="204"/>
      </rPr>
      <t xml:space="preserve">Увеличиваются прочие безвозмездные поступления  на сумму </t>
    </r>
    <r>
      <rPr>
        <b/>
        <sz val="14"/>
        <rFont val="Times New Roman"/>
        <family val="1"/>
        <charset val="204"/>
      </rPr>
      <t xml:space="preserve"> 3600,0 тыс.руб </t>
    </r>
    <r>
      <rPr>
        <sz val="14"/>
        <rFont val="Times New Roman"/>
        <family val="1"/>
        <charset val="204"/>
      </rPr>
      <t>за счет финансовой помощи от АО "Сибирский Антрацит" .</t>
    </r>
  </si>
  <si>
    <t>ВСЕГО дополнительно доходов собственной базы 3600,0тыс.руб.</t>
  </si>
  <si>
    <r>
      <rPr>
        <b/>
        <sz val="14"/>
        <rFont val="Times New Roman"/>
        <family val="1"/>
        <charset val="204"/>
      </rPr>
      <t>4.</t>
    </r>
    <r>
      <rPr>
        <sz val="14"/>
        <rFont val="Times New Roman"/>
        <family val="1"/>
        <charset val="204"/>
      </rPr>
      <t xml:space="preserve"> Изменения по расходам местного бюджета вносятся (приложения 3, 4, 5): </t>
    </r>
  </si>
  <si>
    <r>
      <rPr>
        <b/>
        <sz val="14"/>
        <rFont val="Times New Roman"/>
        <family val="1"/>
        <charset val="204"/>
      </rPr>
      <t>6.</t>
    </r>
    <r>
      <rPr>
        <sz val="14"/>
        <rFont val="Times New Roman"/>
        <family val="1"/>
        <charset val="204"/>
      </rPr>
      <t xml:space="preserve">  Итог сбалансированности бюджета:</t>
    </r>
  </si>
  <si>
    <r>
      <rPr>
        <b/>
        <sz val="14"/>
        <rFont val="Times New Roman"/>
        <family val="1"/>
        <charset val="204"/>
      </rPr>
      <t>4.2.</t>
    </r>
    <r>
      <rPr>
        <sz val="14"/>
        <rFont val="Times New Roman"/>
        <family val="1"/>
        <charset val="204"/>
      </rPr>
      <t xml:space="preserve"> По ходатайствам бюджетных учреждений:</t>
    </r>
  </si>
  <si>
    <t>По Управлению культуры:</t>
  </si>
  <si>
    <t xml:space="preserve"> - для проведения инженерных изысканий на объекте "Детская школа искусств" в сумме 61,1 т.р..</t>
  </si>
  <si>
    <t>За счет финансовой помощи от АО "Сибирский Антрацит" в сумме 3600,0 т.р., в том числе:</t>
  </si>
  <si>
    <r>
      <t xml:space="preserve"> </t>
    </r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 -  для проведения инженерных изысканий на объекте "Детская школа искусств"  на 600,0 т.р.;</t>
    </r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</si>
  <si>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b/>
        <u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 - для  реализации инициативного бюджетирования через Управление образования (капитального ремонта актового зала школы № 17) на 900,6 т.р.;
 - для устройства системы вентиляции, электроосвещения и выполнения электромонтажных работ в актовом зале шк. №17 1880,1 на т.р.;
- для противопожарных мероприятий на 219,3т.р..</t>
    </r>
  </si>
  <si>
    <t>Источники дефицита бюджета</t>
  </si>
  <si>
    <t>911 0709 053 00 11351 600</t>
  </si>
  <si>
    <t>913 0703 032 00 11701 600</t>
  </si>
  <si>
    <t>919 0502 103 00 11203 800</t>
  </si>
  <si>
    <t>911 0701 051 00 11202 100</t>
  </si>
  <si>
    <t>911 0701 051 00 11202 200</t>
  </si>
  <si>
    <t>по УСЗН:</t>
  </si>
  <si>
    <t>911 0702 051 00 11211 600</t>
  </si>
  <si>
    <t>911 0702 051 00 S1771 600</t>
  </si>
  <si>
    <t>913 0804 060 00 14522 200</t>
  </si>
  <si>
    <t>911 1003 052 00 80120 300</t>
  </si>
  <si>
    <t>915 1003 086 00 52800 300</t>
  </si>
  <si>
    <t>915 1003 086 00 80080 300</t>
  </si>
  <si>
    <t>915 1003 086 Р1 80010 300</t>
  </si>
  <si>
    <t>915 1003 086 00 70010 300</t>
  </si>
  <si>
    <t>915 1003 086 00 70060 300</t>
  </si>
  <si>
    <t>915 1003 086 00 70090 300</t>
  </si>
  <si>
    <t>915 1003 086 00 80090 300</t>
  </si>
  <si>
    <t>915 1003 086 Р1 70050 300</t>
  </si>
  <si>
    <t>915 1003 086 00 80110 300</t>
  </si>
  <si>
    <t>915 1003 086 00 80110 800</t>
  </si>
  <si>
    <t>913 0801 060 00 11402 600</t>
  </si>
  <si>
    <t>913 0801 060 00 13421 600</t>
  </si>
  <si>
    <t>904 1101 090 00 15232 600</t>
  </si>
  <si>
    <t>904 1101 032 00 11701 600</t>
  </si>
  <si>
    <t>915 1004 086 Р1 50840 300</t>
  </si>
  <si>
    <t>913 0801 060 00 12411 600</t>
  </si>
  <si>
    <t>913 0804 060 00 14041 200</t>
  </si>
  <si>
    <t>КСП</t>
  </si>
  <si>
    <t>906 0106 990 00 24001 100</t>
  </si>
  <si>
    <t>915 1002 085 00 11051 100</t>
  </si>
  <si>
    <t>915 1002 085 00 11051 200</t>
  </si>
  <si>
    <t>919 0502 103 00 16101 800</t>
  </si>
  <si>
    <t>919 0503 118 00 11182 600</t>
  </si>
  <si>
    <t>911 1003 052 00 72010 600</t>
  </si>
  <si>
    <t>913 0804 060 00 14522 100</t>
  </si>
  <si>
    <t>911 0709 053 00 11521 600</t>
  </si>
  <si>
    <t>913 0801 032 00 11701 600</t>
  </si>
  <si>
    <t>913 0703 051 00 11231 200</t>
  </si>
  <si>
    <t>911 0702 032 00 11701 200</t>
  </si>
  <si>
    <t>905 0113 020 00 15001 200</t>
  </si>
  <si>
    <t>УО</t>
  </si>
  <si>
    <t>919 0502 103 00 12402 800</t>
  </si>
  <si>
    <t>919 0502  103 00 15101 800</t>
  </si>
  <si>
    <t>911 0709 053 00 11521 100</t>
  </si>
  <si>
    <t>906 0106 990 00 20131 100</t>
  </si>
  <si>
    <t>915 1004 086 P1 55730 300</t>
  </si>
  <si>
    <t>904 1105 090 00 11042 100</t>
  </si>
  <si>
    <t>904 1105 090 00 11042 200</t>
  </si>
  <si>
    <t>904 1105 090 00 11044 600</t>
  </si>
  <si>
    <t>911 0701 051 00 L0270 200</t>
  </si>
  <si>
    <t>911 0702 051 00 S3420 600</t>
  </si>
  <si>
    <t>919 0409 111 00 11121 600</t>
  </si>
  <si>
    <t>919 0409 112 00 11111 600</t>
  </si>
  <si>
    <t>919 0503 113 00 11131 600</t>
  </si>
  <si>
    <t>919 0503 114 00 11141 600</t>
  </si>
  <si>
    <t>911 1003 086 Р1 70050 600</t>
  </si>
  <si>
    <t>911 0703 051 00 12003 600</t>
  </si>
  <si>
    <t>915 1003 086 00 80100 200</t>
  </si>
  <si>
    <t>911 1101 090 00 15233 600</t>
  </si>
  <si>
    <t>900 0113 033 00 12161 200</t>
  </si>
  <si>
    <t>900 0113 033 00 12161 800</t>
  </si>
  <si>
    <t xml:space="preserve"> 1.1.1.  дотация увеличивается   на 79200,0тыс.руб.</t>
  </si>
  <si>
    <t>Дотация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</si>
  <si>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</si>
  <si>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</si>
  <si>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</si>
  <si>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</si>
  <si>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</si>
  <si>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</si>
  <si>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</si>
  <si>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</si>
  <si>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Налог, взимаемый с налогоплательщиков, выбравших в качестве объекта налогообложения доходы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</si>
  <si>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</si>
  <si>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Единый налог на вмененный доход для отдельных видов деятельности</t>
  </si>
  <si>
    <t>Налог, взимаемый в связи с применением патентной системы налогообложения, зачисляемый в бюджеты городских округов</t>
  </si>
  <si>
    <t>Транспортный налог с организаций</t>
  </si>
  <si>
    <t>Земельный налог с организаций, обладающих земельным участком, расположенным в границах  городских округов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</si>
  <si>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</si>
  <si>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</si>
  <si>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</si>
  <si>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</si>
  <si>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</si>
  <si>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</si>
  <si>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</si>
  <si>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Проценты, полученные от предоставления бюджетных кредитов внутри страны за счет средств бюджетов городских округов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</si>
  <si>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</si>
  <si>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</si>
  <si>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Прочие доходы от использования имущества и прав, находящихся в государственной и муниципальной собственности(за исключением имущества бюджетных и автономных учреждений,  и также имущества государственных и муниципальных унитарных предприятий, в т.ч. казенных) </t>
  </si>
  <si>
    <t>Прочие доходы от оказания платных услуг (работ) получателями средств бюджетов городских округов</t>
  </si>
  <si>
    <t xml:space="preserve">Прочие доходы от компенсации затрат бюджетов городских округов </t>
  </si>
  <si>
    <t>Доходы от продажи квартир, находящихся в собственности городских округов</t>
  </si>
  <si>
    <t>Доходы от реализации имущества, находящегося в  собственности городских округов (за исключением имущества муниципальных автономных учреждений, а также имущества муниципальных унитарных предприятий, в т.ч. казенных) в части реализации основных средств по указанному имуществу</t>
  </si>
  <si>
    <t xml:space="preserve">Денежные взыскания (штрафы) за нарушение законодательства о налогах и сборах, предусмотренные ст. 116, 118, 1191, п. 1 и 2 ст. 120, ст.125, 126, 128, 129, 1291, 132, 133, 134, 135, 1351 Налогового кодекса Российской Федерации, а также штрафы, взыскание которых осуществляется на основании ранее действовавшей ст. 117 Налогового кодекса Российской Федерации </t>
  </si>
  <si>
    <t>Денежные взыскания (штрафы) за административные правонарушение в области налогов и сборов, предусмотренные Кодексом  РФ об административных правонарушениях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</si>
  <si>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</si>
  <si>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</si>
  <si>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Денежные взыскания (штрафы) за нарушение законодательства в области окружающей среды</t>
  </si>
  <si>
    <t>Денежные взыскания (штрафы) за нарушение земельного законодательства</t>
  </si>
  <si>
    <t>Денежные взыскания (штрафы) за нарушение лесного законодательства</t>
  </si>
  <si>
    <t>Денежные взыскания (штрафы) за нарушения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</si>
  <si>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Прочие денежные взыскания (штрафы) за правонарушения в области дорожного движения</t>
  </si>
  <si>
    <t xml:space="preserve">Поступления  сумм в возмещение вреда, причиняемого автомобильным дорогам местного значения  транспортными средствами, осуществляющим перевозки тяжеловесных и  (или) крупногабаритных грузов, зачисляемые в бюджеты городских округов  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</si>
  <si>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</si>
  <si>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915 1004 086 00 52700 300</t>
  </si>
  <si>
    <t>915 1003 086 00 70020 300</t>
  </si>
  <si>
    <t xml:space="preserve"> - на обеспечение мер социальной поддержки ветеранов труда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труда"на 800,0 т.р.;
 - на обеспечение мер социальной поддержки ветеранов Великой Отечественной войны, проработавших в тылу в период с 22 июня 1941 года по 9 мая 1945 года не менее шести месяцев, исключая период работы на временно оккупированных территориях СССР, либо награжденных орденами и медалями СССР за самоотверженный труд в период Великой Отечественной войны, в соответствии с Законом Кемеровской области от 20 декабря 2004 года № 105-ОЗ "О мерах социальной поддержки отдельной категории ветеранов Великой Отечественной войны и ветеранов труда" на 260,0 т.р.;
 - на обеспечение мер социальной поддержки реабилитированных лиц и лиц, признанных пострадавшими от политических репрессий, в соответствии с Законом Кемеровской области от 20 декабря 2004 года № 114-ОЗ "О мерах социальной поддержки реабилитированных лиц и лиц, признанных пострадавшими от политических репрессий" на 173,0 т.р.;</t>
  </si>
  <si>
    <t>915 1003 086 00 70030 300</t>
  </si>
  <si>
    <t>915 1003 086 00 70070 300</t>
  </si>
  <si>
    <t>915 1003 086 00 80040 300</t>
  </si>
  <si>
    <t>915 1004 086 00 80050 300</t>
  </si>
  <si>
    <t>915 1003 086 00 70080 300</t>
  </si>
  <si>
    <t xml:space="preserve"> - на предоставление гражданам субсидий на оплату жилого помещения и коммунальных услуг на 1700,0 т.р.;
 - на меры социальной поддержки отдельных категорий многодетных матерей в соответствии с Законом Кемеровской области от 8 апреля 2008 года № 14-ОЗ "О мерах социальной поддержки отдельных категорий многодетных матерей" на 10,0 т.р.;
 - на меры социальной поддержки отдельных категорий приемных родителей в соответствии с Законом Кемеровской области от 7 февраля 2013 года № 9-ОЗ "О мерах социальной поддержки отдельных категорий приемных родителей" на 5,1 т.р.;
 - на меры социальной поддержки в целях развития дополнительного социального обеспечения отдельных категорий граждан в рамках публичного нормативного обязательства на 1208,0 т.р.;
 - на пособие на ребенка в соответствии с Законом Кемеровской области от 18 ноября 2004 года № 75-ОЗ "О размере, порядке назначения и выплаты пособия на ребенка" на 2344,0 т.р.;
 -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 на 4630,4 т.р.;</t>
  </si>
  <si>
    <t>915 1004 086 00 70840 200</t>
  </si>
  <si>
    <t xml:space="preserve"> - на меры социальной поддержки многодетных семей в соответствии с Законом Кемеровской области от 14 ноября 2005 года № 123-ОЗ "О мерах социальной поддержки многодетных семей в Кемеровской области" на 800,0 т.р.;
 - на дополнительную меру социальной поддержки семей, имеющих детей, в соответствии с Законом Кемеровской области от 25 апреля 2011 года № 51-ОЗ "О дополнительной мере социальной поддержки семей, имеющих детей" на 11,0 т.р.;
 -  на меры социальной поддержки отдельных категорий граждан в соответствии с Законом Кемеровской области от 27 января 2005 года № 15-ОЗ "О мерах социальной поддержки отдельных категорий граждан" на 35,1 т.р.;
 - на денежную выплату отдельным категориям граждан в соответствии с Законом Кемеровской области от 12 декабря 2006 года № 156-ОЗ "О денежной выплате отдельным категориям граждан" на 15,0 т.р.;</t>
  </si>
  <si>
    <t>915 1003 086 00 80070 300</t>
  </si>
  <si>
    <t xml:space="preserve"> - на ежемесячную денежную выплату, назначаемая в случае рождения третьего ребенка или последующих детей, до достижения ребенком возраста трех лет на 28,0 т.р.;
 - на социальную поддержку граждан, достигших возраста 70 лет, в соответствии с Законом Кемеровской области от 10 июня 2005 года № 74-ОЗ "О социальной поддержке граждан, достигших возраста 70 лет" на 8,0 т.р.;
 - на государственную социальную помощь малоимущим семьям и малоимущим одиноко проживающим гражданам в соответствии с Законом Кемеровской области от 8 декабря 2005 года № 140-ОЗ "О государственной социальной помощи малоимущим семьям и малоимущим одиноко проживающим гражданам" на 129,0 т.р.;
 - на меры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соответствии с Законом Кемеровской области от 17 января 2005 года № 2-ОЗ "О мерах социальной поддержки отдельных категорий граждан по оплате жилых помещений и (или) коммунальных услуг" на 600,0 т.р.;</t>
  </si>
  <si>
    <t>915 1002 086 00 70190 100</t>
  </si>
  <si>
    <t>900 1003 041 00 51760 400</t>
  </si>
  <si>
    <t>911 1003 052 00 72030 300</t>
  </si>
  <si>
    <t>911 1003 052 00 72050 300</t>
  </si>
  <si>
    <t>911 1004 052 00 80140 300</t>
  </si>
  <si>
    <t>919 0502 103 00 11302 800</t>
  </si>
  <si>
    <t>919 0502 103 00 15101 800</t>
  </si>
  <si>
    <t>919 0113 020 00 16001 800</t>
  </si>
  <si>
    <t>915 1003 086 Р1 80010 200</t>
  </si>
  <si>
    <t>915 1003 086 00 80110 200</t>
  </si>
  <si>
    <t xml:space="preserve">1.3. Увеличиваются прочие безвозмездные поступления  на сумму 5161,4 тыс.руб.
                                                     </t>
  </si>
  <si>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ежемесячные денежные выплаты отдельным категориям граждан, воспитывающих детей в возрасте от 1,5 до 7 лет, в соответствии с Законом Кемеровской области от 10 декабря 2007 года № 162-ОЗ "О ежемесячной денежной выплате отдельным категориям граждан, воспитывающих детей в возрасте от 1,5 до 7 лет" на 75,0 т.р.;
 - на социальную поддержку работников образовательных организаций и участников образовательного процесса на 150,0 т.р.;
 - на 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на 90,0 т.р.;
 - на обеспечение зачисления денежных средств для детей-сирот и детей, оставшихся без попечения родителей, на специальные накопительные банковские счета на 39,0 т.р.;
 - на осуществление назначения и выплаты единовременного государственного пособия гражданам, усыновившим (удочерившим) детей-сирот и детей, оставшихся без попечения родителей, установленного Законом Кемеровской области от 13 марта 2008 года № 5-ОЗ «О предоставлении меры социальной поддержки гражданам, усыновившим (удочерившим) детей-сирот и детей, оставшихся без попечения родителей» на 150,0 т.р.;</t>
    </r>
  </si>
  <si>
    <r>
      <rPr>
        <b/>
        <sz val="14"/>
        <rFont val="Times New Roman"/>
        <family val="1"/>
        <charset val="204"/>
      </rPr>
      <t>По КСП</t>
    </r>
    <r>
      <rPr>
        <sz val="14"/>
        <rFont val="Times New Roman"/>
        <family val="1"/>
        <charset val="204"/>
      </rPr>
      <t>:
 - для оплаты труда председателя КСП в сумме 2,9 т.р.;</t>
    </r>
  </si>
  <si>
    <t>900 0113 044 00 11201 400</t>
  </si>
  <si>
    <t>МФЦ</t>
  </si>
  <si>
    <t>915 1003 086 Р1 70050 200</t>
  </si>
  <si>
    <t>900 0113 020 00 16001 600</t>
  </si>
  <si>
    <t>900 0309 032 00 12701 600</t>
  </si>
  <si>
    <t>900 0309 032 00 11701 600</t>
  </si>
  <si>
    <t>900 0113 032 00 11701 600</t>
  </si>
  <si>
    <t>900 0113 130 00 11171 600</t>
  </si>
  <si>
    <t>900 0113 015 00 94041 300</t>
  </si>
  <si>
    <t>900 1006 015 00 15011 300</t>
  </si>
  <si>
    <t>900 0104 011 00 11021 200</t>
  </si>
  <si>
    <t>900 0104 011 00 11031 200</t>
  </si>
  <si>
    <t>900 0113 015 00 16131 200</t>
  </si>
  <si>
    <t>900 0113 015 00 16131 300</t>
  </si>
  <si>
    <t>900 0113 015 00 16131 800</t>
  </si>
  <si>
    <t>СНД</t>
  </si>
  <si>
    <t>907 0113 015 00 16131 200</t>
  </si>
  <si>
    <t>907 0113 015 00 16131 300</t>
  </si>
  <si>
    <t>919 0113 015 00 16131 200</t>
  </si>
  <si>
    <t>911 0113 015 00 16131 300</t>
  </si>
  <si>
    <t>911 0113 015 00 16131 600</t>
  </si>
  <si>
    <t>913 0113 015 00 16131 600</t>
  </si>
  <si>
    <t>913 0113 015 00 16131 200</t>
  </si>
  <si>
    <t>915 0113 015 00 16131 200</t>
  </si>
  <si>
    <t>915 0113 015 00 16131 300</t>
  </si>
  <si>
    <t>2020г</t>
  </si>
  <si>
    <t>904 1101 044 00 12201 400</t>
  </si>
  <si>
    <t>919 0503 115 00 11152 600</t>
  </si>
  <si>
    <t>ГО и ЧС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</si>
  <si>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 на 31316,4 т.р.;
- на компенсацию выпадающих доходов организациям, предоставляющим населению услуги газоснабжения по тарифам, не обеспечивающим возмещение издержек на 23,6 т.р.;
 - на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26941,0 т.р.;
 -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годы", за счет средств резервного фонда Правительства Российской Федерации на 90,0 т.р.;</t>
    </r>
  </si>
  <si>
    <t>919 0503 115 00 L299F 600</t>
  </si>
  <si>
    <t>911 0709 032 00 11701 600</t>
  </si>
  <si>
    <t>911 0709 053 00 11521 200</t>
  </si>
  <si>
    <t>911 1004 052 00 11213 200</t>
  </si>
  <si>
    <t>911 1004 052 00 11213 600</t>
  </si>
  <si>
    <t>900 0104 011 00 11021 100</t>
  </si>
  <si>
    <t>900 0104 011 00 11031 100</t>
  </si>
  <si>
    <t>Уменьшаются ассигнования в связи с отсутствием фактических расходов, а также неисполненные в текущем финансовом году бюджетные и денежные обязательства, так как согласно бухгалтерского учета следует принимать как начисленные обязательства, подлежащие исполнению в следующем за текущим финансовым годом:</t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</si>
  <si>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по ФОТ на 100,0 т.р.;
</t>
    </r>
    <r>
      <rPr>
        <b/>
        <sz val="14"/>
        <rFont val="Times New Roman"/>
        <family val="1"/>
        <charset val="204"/>
      </rPr>
      <t>По УЖ:</t>
    </r>
    <r>
      <rPr>
        <sz val="14"/>
        <rFont val="Times New Roman"/>
        <family val="1"/>
        <charset val="204"/>
      </rPr>
      <t xml:space="preserve">
 - по ФОТ на 101,4 т.р.;</t>
    </r>
  </si>
  <si>
    <t>919 0505 104 00 11043 100</t>
  </si>
  <si>
    <t>919 0505 116 00 11902 600</t>
  </si>
  <si>
    <r>
      <rPr>
        <b/>
        <sz val="14"/>
        <rFont val="Times New Roman"/>
        <family val="1"/>
        <charset val="204"/>
      </rPr>
      <t>По КСП:</t>
    </r>
    <r>
      <rPr>
        <sz val="14"/>
        <rFont val="Times New Roman"/>
        <family val="1"/>
        <charset val="204"/>
      </rPr>
      <t xml:space="preserve">
 - прочие расходы на 2,7 т.р.;</t>
    </r>
  </si>
  <si>
    <t>906 0106 990 00 24001 200</t>
  </si>
  <si>
    <t>900 0501 043 F3 09502 400</t>
  </si>
  <si>
    <t>900 0501 043 F3 09502 800</t>
  </si>
  <si>
    <t>904 1101 090 00 11013 600</t>
  </si>
  <si>
    <r>
      <rPr>
        <b/>
        <sz val="14"/>
        <rFont val="Times New Roman"/>
        <family val="1"/>
        <charset val="204"/>
      </rPr>
      <t>По Управлению культуры:</t>
    </r>
    <r>
      <rPr>
        <sz val="14"/>
        <rFont val="Times New Roman"/>
        <family val="1"/>
        <charset val="204"/>
      </rPr>
      <t xml:space="preserve">
 - по ФОТ на 2245,7 т.р.;</t>
    </r>
  </si>
  <si>
    <t>913 0804 060 00 14041 100</t>
  </si>
  <si>
    <r>
      <t xml:space="preserve">По СНД:
</t>
    </r>
    <r>
      <rPr>
        <sz val="14"/>
        <rFont val="Times New Roman"/>
        <family val="1"/>
        <charset val="204"/>
      </rPr>
      <t xml:space="preserve"> - для выплаты заработной платы за декабрь 2019г в сумме 131,1 т.р.;</t>
    </r>
  </si>
  <si>
    <t>907 0103 990 00 20111 100</t>
  </si>
  <si>
    <t>907 0103 990 00 20121 100</t>
  </si>
  <si>
    <t>907 0103 990 00 24001 100</t>
  </si>
  <si>
    <t>900 0113 015 00 17001 800</t>
  </si>
  <si>
    <t>915 0113 015 00 17001 800</t>
  </si>
  <si>
    <t>915 1003 086 00 80090 200</t>
  </si>
  <si>
    <t>905 0113 020 11 13001 200</t>
  </si>
  <si>
    <t>905 0113 020 11 14001 200</t>
  </si>
  <si>
    <t>905 0113 020 11 16001 200</t>
  </si>
  <si>
    <t>905 0113 020 11 16001 800</t>
  </si>
  <si>
    <t>905 0113 020 11 18001 200</t>
  </si>
  <si>
    <t>905 0113 020 11 18001 800</t>
  </si>
  <si>
    <t>905 0113 020 11 19001 100</t>
  </si>
  <si>
    <t>905 0113 020 11 19001 200</t>
  </si>
  <si>
    <t>905 0113 020 11 19001 800</t>
  </si>
  <si>
    <t>905 0412 020 00 12001 200</t>
  </si>
  <si>
    <t>905 0501 045 00 13003 200</t>
  </si>
  <si>
    <t>911 0702 051 00 12051 200</t>
  </si>
  <si>
    <t>913 0804 060 00 14041 800</t>
  </si>
  <si>
    <t>900 0102 011 00 11011 100</t>
  </si>
  <si>
    <t>900 0111 015 00 13071 800</t>
  </si>
  <si>
    <t>Резервный фонд</t>
  </si>
  <si>
    <t>900 0113 014 00 11401 600</t>
  </si>
  <si>
    <t>Архив</t>
  </si>
  <si>
    <r>
      <t xml:space="preserve">По МФЦ:
</t>
    </r>
    <r>
      <rPr>
        <sz val="14"/>
        <rFont val="Times New Roman"/>
        <family val="1"/>
        <charset val="204"/>
      </rPr>
      <t xml:space="preserve"> - по строительству МФЦ на 1417,9 т.р.;
</t>
    </r>
    <r>
      <rPr>
        <b/>
        <sz val="14"/>
        <rFont val="Times New Roman"/>
        <family val="1"/>
        <charset val="204"/>
      </rPr>
      <t xml:space="preserve"> По архиву:</t>
    </r>
    <r>
      <rPr>
        <sz val="14"/>
        <rFont val="Times New Roman"/>
        <family val="1"/>
        <charset val="204"/>
      </rPr>
      <t xml:space="preserve">
 - по ФОТ на 24,4 т.р.;
</t>
    </r>
    <r>
      <rPr>
        <b/>
        <sz val="14"/>
        <rFont val="Times New Roman"/>
        <family val="1"/>
        <charset val="204"/>
      </rPr>
      <t>По УКС:</t>
    </r>
    <r>
      <rPr>
        <sz val="14"/>
        <rFont val="Times New Roman"/>
        <family val="1"/>
        <charset val="204"/>
      </rPr>
      <t xml:space="preserve">
 - по ФОТ на 201,6 т.р., по прочим на 14,1 т.р.;</t>
    </r>
  </si>
  <si>
    <t>900 0113 044 00 13201 600</t>
  </si>
  <si>
    <r>
      <rPr>
        <b/>
        <sz val="14"/>
        <rFont val="Times New Roman"/>
        <family val="1"/>
        <charset val="204"/>
      </rPr>
      <t>По МФЦ:</t>
    </r>
    <r>
      <rPr>
        <sz val="14"/>
        <rFont val="Times New Roman"/>
        <family val="1"/>
        <charset val="204"/>
      </rPr>
      <t xml:space="preserve">
 - для выплаты заработной платы за декабрь на 931,3 т.р.;</t>
    </r>
  </si>
  <si>
    <t>УКС</t>
  </si>
  <si>
    <r>
      <t xml:space="preserve">
</t>
    </r>
    <r>
      <rPr>
        <b/>
        <sz val="14"/>
        <rFont val="Times New Roman"/>
        <family val="1"/>
        <charset val="204"/>
      </rPr>
      <t>По управлению образования:</t>
    </r>
    <r>
      <rPr>
        <sz val="14"/>
        <rFont val="Times New Roman"/>
        <family val="1"/>
        <charset val="204"/>
      </rPr>
      <t xml:space="preserve">
 - на противопожарные мероприятия на 886,7 т.р.;
- для оплаты местной доли по капитальному ремонту школы №3 в сумме 5996,3 т.р.; 
- для оплаты питания, хоз. расходов на 127,2 т.р.;
 - для выплаты заработной платы за декабрь в сумме 490,9 т.р.;</t>
    </r>
  </si>
  <si>
    <t>911 0709 051 00 17001 100</t>
  </si>
  <si>
    <t>911 0709 051 00 17001 600</t>
  </si>
  <si>
    <t>911 0709 051 00 18221 100</t>
  </si>
  <si>
    <t>911 0709 051 00 18221 600</t>
  </si>
  <si>
    <t>911 0709 053 00 14041 100</t>
  </si>
  <si>
    <r>
      <t xml:space="preserve">По Управлению ГО и ЧС:
</t>
    </r>
    <r>
      <rPr>
        <sz val="14"/>
        <rFont val="Times New Roman"/>
        <family val="1"/>
        <charset val="204"/>
      </rPr>
      <t xml:space="preserve"> - по ФОТ на 177,1т.р.;</t>
    </r>
  </si>
  <si>
    <t>900 0309 031 00 15003 600</t>
  </si>
  <si>
    <t>900 0113 033 00 11151 100</t>
  </si>
  <si>
    <t>ОООП</t>
  </si>
  <si>
    <t>915 1004 086 00 53800 200</t>
  </si>
  <si>
    <t>915 1003 086 00 80080 200</t>
  </si>
  <si>
    <t>915 1003 086 00 80040 200</t>
  </si>
  <si>
    <t>915 1003 086 00 70020 200</t>
  </si>
  <si>
    <t>915 1003 086 00 70010 200</t>
  </si>
  <si>
    <t>915 1003 086 00 52800 200</t>
  </si>
  <si>
    <r>
      <t>По Администрации:</t>
    </r>
    <r>
      <rPr>
        <sz val="14"/>
        <rFont val="Times New Roman"/>
        <family val="1"/>
        <charset val="204"/>
      </rPr>
      <t xml:space="preserve">
 - на 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  по 2021году на 140373,2 т.р.;</t>
    </r>
  </si>
  <si>
    <t>2021г</t>
  </si>
  <si>
    <t>900 0501 043 F3 67483 400</t>
  </si>
  <si>
    <t>900 0501 043 F3 67483 800</t>
  </si>
  <si>
    <t>900 0501 043 F3 09602 400</t>
  </si>
  <si>
    <t>900 0501 043 F3 09602 800</t>
  </si>
  <si>
    <t>900 0501 043 F3 67484 400</t>
  </si>
  <si>
    <t>900 0501 043 F3 67484 800</t>
  </si>
  <si>
    <t>900 0501 043 F3 S9602 400</t>
  </si>
  <si>
    <t>900 1003 041 00 11501 400</t>
  </si>
  <si>
    <t>911 1004 052 00 71810 200</t>
  </si>
  <si>
    <t>911 1004 052 00 71810 300</t>
  </si>
  <si>
    <t>911 1004 052 00 71810 600</t>
  </si>
  <si>
    <r>
      <rPr>
        <b/>
        <sz val="14"/>
        <rFont val="Times New Roman"/>
        <family val="1"/>
        <charset val="204"/>
      </rPr>
      <t xml:space="preserve">По КУМИ:
</t>
    </r>
    <r>
      <rPr>
        <sz val="14"/>
        <rFont val="Times New Roman"/>
        <family val="1"/>
        <charset val="204"/>
      </rPr>
      <t xml:space="preserve"> - по проведению капитальных ремонтов инженерной инфраструктуры на 3917,9 т.р.;
 - по ФОТ на 122,5 т.р.;</t>
    </r>
  </si>
  <si>
    <t xml:space="preserve">911 0701 044 00 12201 400 </t>
  </si>
  <si>
    <t>911 0702 051 00 12221 100</t>
  </si>
  <si>
    <t>911 0709 051 00 13011 600</t>
  </si>
  <si>
    <t>911 0709 053 00 14041 200</t>
  </si>
  <si>
    <t>911 0709 053 00 11521 800</t>
  </si>
  <si>
    <t>911 1004 052 00 11212 600</t>
  </si>
  <si>
    <t>911 0702 051 00 71820 100</t>
  </si>
  <si>
    <t xml:space="preserve"> -  на доведение ФОТ до расчетного частично на 20285,0 т.р.;
 - на софинансирование капитального ремонта школы №3 на 634,0 т.р.;
 - на обеспечение образовательной деятельности образовательных организаций по адаптированным общеобразовательным программам на 673,0 т.р.;</t>
  </si>
  <si>
    <t>911 0702 051 00 71840 200</t>
  </si>
  <si>
    <t>900 1003 041 00 51350 300</t>
  </si>
  <si>
    <t xml:space="preserve"> - на 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"О мерах социальной поддержки работников муниципальных учреждений социального обслуживания" на 22,0 т.р.;
 - на создание системы долговременного ухода за гражданами пожилого возраста и инвалидами на 0,1 т.р.;</t>
  </si>
  <si>
    <t>915 1006 085 Р3 51630 600</t>
  </si>
  <si>
    <t>905 0412 020 00 11001 200</t>
  </si>
  <si>
    <t>911 0702 051 00 12221 800</t>
  </si>
  <si>
    <t>906 0106 990 00 24001 800</t>
  </si>
  <si>
    <r>
      <rPr>
        <b/>
        <sz val="14"/>
        <rFont val="Times New Roman"/>
        <family val="1"/>
        <charset val="204"/>
      </rPr>
      <t xml:space="preserve">По Управлению образования:
</t>
    </r>
    <r>
      <rPr>
        <sz val="14"/>
        <rFont val="Times New Roman"/>
        <family val="1"/>
        <charset val="204"/>
      </rPr>
      <t xml:space="preserve"> - для оплаты мероприятий по доступной среде в сумме 24,0 т.р.;
 - для оплаты за  коммунальные услуги в сумме 2822,2 т.р.;
 - для оплаты госпошлины, налогов, штрафов в сумме 85,7 т.р., программного обеспечения в сумме 72,6 т.р.;
 - для оплаты устройства вентиляции в школе №17  в сумме 233,4 т.р.;</t>
    </r>
  </si>
  <si>
    <t xml:space="preserve"> - для оплаты  расходов  за счет средств от предпринимательской и иной приносящей доход деятельности в сумме 429,5 т.р.;
- для оплаты медосмотра в сумме 216,5 т.р.; приобретение ламп, запчастей в сумме 47,5 т.р.;
 - для выплаты компенсации части родительской платы в сумме 24,6 т.р.;
 - для оплаты за спил тополей в сумме 105,5 т.р., за проведение экспертизы в сумме 21,2 т.р.;
 - на ремонт кровли в сумме 50,0 т.р.; приобретение строительных материалов в сумме 82,3 т.р.;
 - для оплаты по энергосервисному контракту в сумме 50,0 т.р.; прочие расходы в сумме 87,4 т.р.;
 - для оплаты расходов по детскому дому в сумме 0,2 т.р.;</t>
  </si>
  <si>
    <t xml:space="preserve">  - для оплаты противопожарных мероприятий в сумме в сумме 1930,9 т.р., видеонаблюдения в сумме 137,7 т.р.;
 - для оплаты охраны в сумме 273,4 т.р.;
 - для оплаты ГСМ в сумме 242,1 т.р.;
 - для оплаты связи в сумме 55,1 т.р.;
 - для оплаты дератизации в сумме 98,8 т.р.;
 - для оплаты обучения в сумме 8,5 т.р.; </t>
  </si>
  <si>
    <t>900 0104 032 00 11701 200</t>
  </si>
  <si>
    <r>
      <t xml:space="preserve">По Управлению ГО и ЧС:
</t>
    </r>
    <r>
      <rPr>
        <sz val="14"/>
        <rFont val="Times New Roman"/>
        <family val="1"/>
        <charset val="204"/>
      </rPr>
      <t xml:space="preserve"> - на выплату по договорам ГПХ по очистным сооружениям п.Рудничный на 522,0 т.р.;
</t>
    </r>
    <r>
      <rPr>
        <b/>
        <sz val="14"/>
        <rFont val="Times New Roman"/>
        <family val="1"/>
        <charset val="204"/>
      </rPr>
      <t xml:space="preserve">  По ОООП:</t>
    </r>
    <r>
      <rPr>
        <sz val="14"/>
        <rFont val="Times New Roman"/>
        <family val="1"/>
        <charset val="204"/>
      </rPr>
      <t xml:space="preserve">
 - для выплаты заработной платы за декабрь на 271,5 т.р.;</t>
    </r>
  </si>
  <si>
    <r>
      <rPr>
        <b/>
        <sz val="14"/>
        <rFont val="Times New Roman"/>
        <family val="1"/>
        <charset val="204"/>
      </rPr>
      <t xml:space="preserve">По УЖКХ:
 </t>
    </r>
    <r>
      <rPr>
        <sz val="14"/>
        <rFont val="Times New Roman"/>
        <family val="1"/>
        <charset val="204"/>
      </rPr>
      <t xml:space="preserve"> - для оплаты за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2700,0 т.р.;
 - для оплаты за содержание дорог в сумме 5778,2 т.р.;
 - для оплаты за уличное освещение в сумме 150,0 т.р.;
 -  для оплаты местной доли софинансирования по софинансированию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годы", за счет средств резервного фонда Правительства Российской Федерации в сумме 10,0 т.р.;
 - для оплаты уличного освещения в сумме 76,6 т.р.;</t>
    </r>
  </si>
  <si>
    <t>915 1003 086 00 70080 200</t>
  </si>
  <si>
    <t xml:space="preserve"> - на оплату за содержание незаселенных квартир на 421,4 т.р.;
 - на оплату за содержание дорог на 1200,0 т.р.;
- для выплаты заработной платы за декабрь 2019г в сумме 287,2 т.р.;</t>
  </si>
  <si>
    <r>
      <rPr>
        <b/>
        <sz val="14"/>
        <rFont val="Times New Roman"/>
        <family val="1"/>
        <charset val="204"/>
      </rPr>
      <t xml:space="preserve">По Управлению культуры:
</t>
    </r>
    <r>
      <rPr>
        <sz val="14"/>
        <rFont val="Times New Roman"/>
        <family val="1"/>
        <charset val="204"/>
      </rPr>
      <t xml:space="preserve"> - для оплаты пожарной сигнализации в сумме 44,4 т.р.;
 - на оплаты охраны, связи, ГСМ, возмещения эксплуатационных расходов в сумме 214,8 т.р.;
 - для оплаты коммунальных услуг, новогоднего оформления, выплаты матерям до 3-х лет в сумме 46,1 т.р.;
 - для оплаты ремонта теплотрассы библиотеки в сумме 171,7 т.р.;
 - для выплаты заработной платы за декабрь 2019г в сумме 71,1 т.р.;</t>
    </r>
  </si>
  <si>
    <r>
      <rPr>
        <b/>
        <sz val="14"/>
        <rFont val="Times New Roman"/>
        <family val="1"/>
        <charset val="204"/>
      </rPr>
      <t>По КУМИ:</t>
    </r>
    <r>
      <rPr>
        <sz val="14"/>
        <rFont val="Times New Roman"/>
        <family val="1"/>
        <charset val="204"/>
      </rPr>
      <t xml:space="preserve">
 - для оплаты коммунальных расходов по очистным сооружениям п. Рудничный в сумме 162,0 т.р.;
 - на выплату заработной платы в сумме 718,1 т.р.;
 - для оплаты за межевание в сумме 61,2 т.р., за охрану муниципального имущества в сумме 83,0 т.р.;</t>
    </r>
  </si>
  <si>
    <t xml:space="preserve"> - в связи с остатками средств по ПФДО на расходы учреждений дополнительного образования в сумме 293,2 т.р.;
  - для выплаты заработной платы в сумме 1061,6 т.р.;
 - для оплаты за уголь в сумме 473,9 т.р.;
 - для выплаты компенсации до 3-х лет в сумме 1,0 т.р.;
 - для оплаты ремонта автобусов и ТО, приобретение запчастей в сумме 172,6 т.р.;
 - для оплаты спецоценки рабочих мест в сумме 55,7 т.р.;
 - для выплаты компенсации по уходу за ребенком до 3-х лет в сумме 2,9 т.р.;
 - для оплаты калибровки тахографа в сумме 22,0 т.р.;</t>
  </si>
  <si>
    <t>900 1202 015 00 18002 800</t>
  </si>
  <si>
    <t xml:space="preserve"> 1.1.2.  субсидии уменьшаются   44106,5 на тыс.руб.</t>
  </si>
  <si>
    <t xml:space="preserve"> 1.1.3. иные межбюджетные трансферты уменьшаются на 0,1 тыс. руб</t>
  </si>
  <si>
    <t>Транспортный налог с  физических лиц</t>
  </si>
  <si>
    <t>Земельный налог с физических лиц, обладающих земельным участком, расположенным в границах  городских округов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</si>
  <si>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</si>
  <si>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Плата за выбросы загрязняющих веществ в водные объекты</t>
  </si>
  <si>
    <t>Доходы, поступающие в порядке возмещения расходов, понесенных в связи с эксплуатацией имущества городских округов</t>
  </si>
  <si>
    <t>Доходы от реализации иного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</si>
  <si>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Налог на имущество физических лиц, взимаемый по ставкам, применяемым к объектам налогообложения, расположенным в границах  городских округов</t>
  </si>
  <si>
    <t>ВСЕГО доходов собственной базы 2019год:  33906,5 тыс.руб.</t>
  </si>
  <si>
    <t>2. Изменения по доходам вносятся на 2020 год:</t>
  </si>
  <si>
    <t>3. Изменения по доходам вносятся на 2021 год:</t>
  </si>
  <si>
    <t xml:space="preserve"> 3.1  субсидии увеличиваются   66325,6 на тыс.руб.</t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</si>
  <si>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для оплаты за баннеры, ТМЦ и обслуживание теплоузла в сумме 100,1 т.р.;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 - по охране общественного порядка при проведении всех общественно-политических, культурно-массовых, религиозных и спортивных мероприятий на территории городского округа; охрана общественного порядка на водных объектах (казаки) в сумме 228,8 т.р.;
 - для оплаты труда водителей в сумме 60,0 т.р.;
 - для оплаты возмещения затрат, связанных с опубликованием официальных документов и информации о деятельности органов местного самоуправления Анжеро-Судженского городского округа в сумме 245,9 т.р.;
 - для оплаты услуг ГТРК в сумме 1503,6 т.р.;</t>
    </r>
  </si>
  <si>
    <t>900 0104 011 00 11021 800</t>
  </si>
  <si>
    <t>900 0412 140 00 12801 200</t>
  </si>
  <si>
    <t>900 0501 044 00 11201 200</t>
  </si>
  <si>
    <t>900 0501 044 00 12201 200</t>
  </si>
  <si>
    <t>Поздравления и памятные подарки</t>
  </si>
  <si>
    <t>Исполнение судебных актов</t>
  </si>
  <si>
    <r>
      <rPr>
        <b/>
        <sz val="14"/>
        <rFont val="Times New Roman"/>
        <family val="1"/>
        <charset val="204"/>
      </rPr>
      <t>Переносятся ассигнования с одного ГРБС на другого:</t>
    </r>
    <r>
      <rPr>
        <sz val="14"/>
        <rFont val="Times New Roman"/>
        <family val="1"/>
        <charset val="204"/>
      </rPr>
      <t xml:space="preserve">
 - с Управления образования на УСЗН по мерам соцподдержки отдельных категорий граждан в соответствии с фактическими расходами в сумме 968,6 т.р.;
 - по наградному фонду ассигнования переносятся согласно подписанных распоряжений администрации Анжеро-Судженского городского округа с Администрации в сумме 194,1 т.р. на УЖКХ - 30,8 т.р., на Управление образования - 20,0 т.р., на Управление культуры - 78,3 т.р., на УСЗН - 65,0 т.р.;
 - по исполнению судебных актов согласно подписанного распоряжения Анжеро-Судженского городского округа с Администрации на УСЗН в сумме 0,3 т.р.;</t>
    </r>
  </si>
  <si>
    <r>
      <rPr>
        <b/>
        <sz val="14"/>
        <rFont val="Times New Roman"/>
        <family val="1"/>
        <charset val="204"/>
      </rPr>
      <t>По УЖКХ:</t>
    </r>
    <r>
      <rPr>
        <sz val="14"/>
        <rFont val="Times New Roman"/>
        <family val="1"/>
        <charset val="204"/>
      </rPr>
      <t xml:space="preserve">
 - на 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теплоснабжения в соответствии с установленным предельным индексом на 20515,6 т.р.;
 - на возмещение недополученных экономически обоснованных затрат ресурсоснабжающим организациям и затрат, возникших в результате  приведения размера платы граждан за услуги водоснабжения, водоотведения в соответствии с установленным предельным индексом на 1845,4 т.р.;
 - на компенсацию выпадающих доходов организациям, предоставляющим населению услуги газоснабжения по тарифам, не обеспечивающим возмещение издержек на 337,0 т.р.;
 - на возмещение недополученных экономически обоснованных затрат топливоснабжающим организациям и затрат, возникших в результате приведения размера платы граждан за твердое топливо, реализуемое населению в соответствии с установленным предельным индексом на 10,0 т.р.;
  - для расчетов с ООО "Сибирский колос" на 2000,0 т.р.;
 - для расчетов за уличное освещение на 192,8 т.р.;</t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</si>
  <si>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для выплаты заработной платы за декабрь на 1018,6 т.р.;
 - по наградному фонду на 887,4 т.р.;</t>
    </r>
    <r>
      <rPr>
        <b/>
        <sz val="14"/>
        <rFont val="Times New Roman"/>
        <family val="1"/>
        <charset val="204"/>
      </rPr>
      <t/>
    </r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</si>
  <si>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по денежным выплатам гражданам, имеющим звание "Почетный гражданин Анжеро-Судженского городского округа" на 0,5 т.р. в соответствии с фактическими расходами;
 - по поддержке молодых семей и семей бюджетников на 0,6 т.р. в соответствии с фактическими расходами;
 - по резервному фонду на 287,0 т.р.;
 - по переселению граждан из аварийного жилищного фонда на 646,1 т.р.(местная доля);
 - по обеспечению жильем социально незащищенных категорий граждан, установленных законодательством Кемеровской области и Федеральными законами на 848,1 т.р. (местная доля);
 - по исполнению судебных актов на 919,8 т.р.;
 - по прочим расходам на 288,3 т.р.;
  по исполнению судебных актов на 0,1 т.р.;
 - по программе "Строительство" на 815,1 т.р.;</t>
    </r>
  </si>
  <si>
    <r>
      <rPr>
        <b/>
        <sz val="14"/>
        <rFont val="Times New Roman"/>
        <family val="1"/>
        <charset val="204"/>
      </rPr>
      <t xml:space="preserve">5. </t>
    </r>
    <r>
      <rPr>
        <sz val="14"/>
        <rFont val="Times New Roman"/>
        <family val="1"/>
        <charset val="204"/>
      </rPr>
      <t xml:space="preserve"> Вносятся изменения в источники финансирования дефицита бюджета, уменьшается  строка "Получение кредитов от кредитных организаций бюджетами городских округов в валюте Российской Федерации" на 5296,9 т.р. в связи с получением дополнительных доходов. Уменьшается строка "Погашение бюджетами городских округов кредитов от других бюджетов бюджетной системы РФ в валюте Российской Федерации" на 0,1 т.р., строка "Получение бюджетных кредитов от других бюджетов бюджетной системы Российской Федерации в валюте Российской Федерации" на 0,1 т.р. в соответствии с фактическим исполнением.</t>
    </r>
  </si>
  <si>
    <t xml:space="preserve"> 1.1.2.  субвенции  уменьшаются  на  16480,1 тыс. руб;</t>
  </si>
  <si>
    <t>1.1.   На основании  Закона Кемеровской области от 20.12.2019 г №148-ОЗ  "О внесении изменений в Закон Кемеровской области «Об областном бюджете на 2019 год и на плановый период 2020 и 2021 годов», уведомлений ГФУ от 27.11.19 №5396, 910, от 12.12.19 №5560, от 09.12.19 № 5481, от 27.12.19 №7060:</t>
  </si>
  <si>
    <t xml:space="preserve"> 2.1  субсидии увеличиваются   44196,5 на тыс.руб.</t>
  </si>
  <si>
    <r>
      <rPr>
        <b/>
        <sz val="14"/>
        <rFont val="Times New Roman"/>
        <family val="1"/>
        <charset val="204"/>
      </rPr>
      <t>4.1.</t>
    </r>
    <r>
      <rPr>
        <sz val="14"/>
        <rFont val="Times New Roman"/>
        <family val="1"/>
        <charset val="204"/>
      </rPr>
      <t xml:space="preserve">  На основании  Закона Кемеровской области от 20.12.2019 г №148-ОЗ  "О внесении изменений в Закон Кемеровской области «Об областном бюджете на 2019 год и на плановый период 2020 и 2021 годов», уведомлений ГФУ от 27.11.19 №5396, 910, от 12.12.19 №5560, от 09.12.19 № 5481, от 27.12.2019 №7060:</t>
    </r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</si>
  <si>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для выплаты заработной платы за декабрь на 2736,1 т.р.;</t>
    </r>
  </si>
  <si>
    <t>КФиС</t>
  </si>
  <si>
    <r>
      <rPr>
        <b/>
        <sz val="14"/>
        <rFont val="Times New Roman"/>
        <family val="1"/>
        <charset val="204"/>
      </rPr>
      <t>По КФиС:</t>
    </r>
    <r>
      <rPr>
        <sz val="14"/>
        <rFont val="Times New Roman"/>
        <family val="1"/>
        <charset val="204"/>
      </rPr>
      <t xml:space="preserve">
 - для ремонта автомобиля в сумме 5,0 т.р.;
 - для оплаты противопожарных мероприятий в сумме 2,3 т.р.;
 - для проведения аукциона на проектные работы по ФОК переносятся ассигнования по 2020 году в сумме 2800,0 т.р.;
 - для выплаты заработной платы за декабрь 2019г в сумме 66,0 т.р.;</t>
    </r>
  </si>
  <si>
    <r>
      <t xml:space="preserve">По МФЦ:
</t>
    </r>
    <r>
      <rPr>
        <sz val="14"/>
        <rFont val="Times New Roman"/>
        <family val="1"/>
        <charset val="204"/>
      </rPr>
      <t xml:space="preserve"> - для оплаты канцрасходов и связи в сумме 12,6 т.р.;</t>
    </r>
  </si>
  <si>
    <r>
      <t xml:space="preserve"> По управлению ГО и ЧС:
</t>
    </r>
    <r>
      <rPr>
        <sz val="14"/>
        <rFont val="Times New Roman"/>
        <family val="1"/>
        <charset val="204"/>
      </rPr>
      <t>- для оплаты материалов по очистным в сумме 0,2 т.р.;</t>
    </r>
  </si>
  <si>
    <r>
      <t xml:space="preserve">По КСП:
</t>
    </r>
    <r>
      <rPr>
        <sz val="14"/>
        <rFont val="Times New Roman"/>
        <family val="1"/>
        <charset val="204"/>
      </rPr>
      <t xml:space="preserve"> - для выплаты заработной платы за декабрь 2019г в сумме 92,4 т.р.;</t>
    </r>
  </si>
  <si>
    <t xml:space="preserve">
 - на осуществление ежемесячной выплаты в связи с рождением (усыновлением) первого ребенка на 2100,0 т.р.;
 -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на 9,5 т.р.;</t>
  </si>
  <si>
    <t xml:space="preserve"> -  на осуществление полномочия по осуществлению ежегодной денежной выплаты лицам, награжденным нагрудным знаком "Почетный донор России" на 56,9 т.р.;
 - на выплату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07 декабря 2018 года № 104-ОЗ "О  некоторых вопросах в сфере погребения и похоронного дела в Кемеровской области"на 198,0 т.р.;</t>
  </si>
  <si>
    <t xml:space="preserve">
 - на обеспечение мероприятий по переселению граждан из аварийного жилищного фонда, осуществляемых за счет средств бюджетов субъектов Российской Федерации, в том числе за счет субсидий из бюджетов субъектов Российской Федерации местным бюджетам по 2021 году 74047,6 т.р. (ОБ);
 -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 на 0,1 т.р.</t>
  </si>
  <si>
    <r>
      <t xml:space="preserve">По Администрации:
</t>
    </r>
    <r>
      <rPr>
        <sz val="14"/>
        <rFont val="Times New Roman"/>
        <family val="1"/>
        <charset val="204"/>
      </rPr>
      <t xml:space="preserve"> - на осуществление полномочий по обеспечению жильем отдельных категорий граждан, установленных Федеральным законом от 24 ноября 1995 года № 181-ФЗ «О социальной защите инвалидов в Российской Федерации» на 71,5 т.р.;
 - на обеспечение мероприятий по переселению граждан из аварийного жилищного фонда, осуществляемых за счет средств, поступивших от Фонда содействия реформированию жилищно-коммунального хозяйства  на 44196,5 т.р. по 2019 году, увеличиваются по 2020 году на 44196,5 т.р.; </t>
    </r>
  </si>
  <si>
    <t xml:space="preserve">
 - для оплаты доставки по мерам социальной поддержки по оплате жилых помещений и (или) коммунальных услуг отдельных категорий граждан, оказание мер социальной поддержки которым относится к ведению субъекта Российской Федерации, в сумме 21,9 т.р.;
 для перечисления денежной выплаты отдельным категориям граждан в соответствии с Законом Кемеровской области от 12 декабря 2006 года № 156-ОЗ  в сумме 0,4 т.р.;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</si>
  <si>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- для оплаты канцтоваров  в сумме 6,4 т.р.;
 - для выплаты социального пособия на погребение и возмещение расходов по гарантированному перечню услуг по погребению в сумме 23,5 т.р.;</t>
    </r>
  </si>
  <si>
    <t xml:space="preserve">
 -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на 7950,0 т.р.;</t>
  </si>
  <si>
    <r>
      <rPr>
        <b/>
        <sz val="14"/>
        <rFont val="Times New Roman"/>
        <family val="1"/>
        <charset val="204"/>
      </rPr>
      <t>По УСЗН:</t>
    </r>
    <r>
      <rPr>
        <sz val="14"/>
        <rFont val="Times New Roman"/>
        <family val="1"/>
        <charset val="204"/>
      </rPr>
      <t xml:space="preserve">
 -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детей"на 40,0 т.р.;</t>
    </r>
  </si>
  <si>
    <t>По фактическому поступлению на 01.12.2019г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</si>
</sst>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0.00000"/>
    <numFmt numFmtId="166" formatCode="0.0000"/>
    <numFmt numFmtId="167" formatCode="0.000000"/>
  </numFmts>
  <fonts count="3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u/>
      <sz val="13"/>
      <name val="Times New Roman"/>
      <family val="1"/>
      <charset val="204"/>
    </font>
    <font>
      <sz val="12"/>
      <name val="Arial Cyr"/>
      <charset val="204"/>
    </font>
    <font>
      <b/>
      <sz val="11"/>
      <name val="Times New Roman"/>
      <family val="1"/>
      <charset val="204"/>
    </font>
    <font>
      <i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name val="Times"/>
      <family val="1"/>
    </font>
    <font>
      <sz val="8"/>
      <name val="Arial Cyr"/>
      <charset val="204"/>
    </font>
    <font>
      <vertAlign val="superscript"/>
      <sz val="11"/>
      <name val="Times"/>
      <family val="1"/>
    </font>
    <font>
      <i/>
      <sz val="10"/>
      <name val="Arial Cyr"/>
      <charset val="204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"/>
      <family val="1"/>
    </font>
    <font>
      <b/>
      <u/>
      <sz val="14"/>
      <name val="Arial Cyr"/>
      <charset val="204"/>
    </font>
    <font>
      <sz val="14"/>
      <color rgb="FF00B0F0"/>
      <name val="Arial Cyr"/>
      <charset val="204"/>
    </font>
    <font>
      <sz val="12"/>
      <color rgb="FF00B0F0"/>
      <name val="Times"/>
      <family val="1"/>
    </font>
    <font>
      <sz val="14"/>
      <color rgb="FFFF0000"/>
      <name val="Arial Cyr"/>
      <charset val="204"/>
    </font>
    <font>
      <b/>
      <sz val="10"/>
      <name val="Arial Cyr"/>
      <charset val="204"/>
    </font>
    <font>
      <b/>
      <sz val="16"/>
      <name val="Times New Roman"/>
      <family val="1"/>
      <charset val="204"/>
    </font>
    <font>
      <b/>
      <u/>
      <sz val="12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94">
    <xf numFmtId="0" fontId="0" fillId="0" borderId="0" xfId="0"/>
    <xf numFmtId="164" fontId="3" fillId="0" borderId="0" xfId="0" applyNumberFormat="1" applyFont="1" applyFill="1" applyBorder="1"/>
    <xf numFmtId="49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Fill="1"/>
    <xf numFmtId="16" fontId="6" fillId="0" borderId="0" xfId="0" applyNumberFormat="1" applyFont="1" applyFill="1" applyAlignment="1">
      <alignment horizontal="left" wrapText="1"/>
    </xf>
    <xf numFmtId="49" fontId="3" fillId="0" borderId="1" xfId="0" applyNumberFormat="1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0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10" fillId="0" borderId="0" xfId="0" applyFont="1" applyFill="1"/>
    <xf numFmtId="164" fontId="0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4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16" fontId="4" fillId="0" borderId="0" xfId="0" applyNumberFormat="1" applyFont="1" applyFill="1" applyBorder="1" applyAlignment="1">
      <alignment horizontal="left" vertical="top" wrapText="1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1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6" fillId="0" borderId="5" xfId="0" applyNumberFormat="1" applyFont="1" applyFill="1" applyBorder="1" applyAlignment="1">
      <alignment vertical="top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right" vertical="center"/>
    </xf>
    <xf numFmtId="164" fontId="9" fillId="0" borderId="1" xfId="0" applyNumberFormat="1" applyFont="1" applyFill="1" applyBorder="1" applyAlignment="1">
      <alignment horizontal="right" vertical="center"/>
    </xf>
    <xf numFmtId="164" fontId="9" fillId="0" borderId="1" xfId="0" applyNumberFormat="1" applyFont="1" applyFill="1" applyBorder="1"/>
    <xf numFmtId="0" fontId="9" fillId="0" borderId="1" xfId="0" applyFont="1" applyFill="1" applyBorder="1" applyAlignment="1">
      <alignment horizontal="right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/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vertical="top" wrapText="1"/>
    </xf>
    <xf numFmtId="165" fontId="0" fillId="0" borderId="0" xfId="0" applyNumberFormat="1" applyFont="1" applyFill="1"/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NumberFormat="1" applyFont="1" applyFill="1" applyAlignment="1">
      <alignment horizontal="left" wrapText="1"/>
    </xf>
    <xf numFmtId="2" fontId="9" fillId="0" borderId="1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top" wrapText="1"/>
    </xf>
    <xf numFmtId="0" fontId="19" fillId="0" borderId="6" xfId="0" applyFont="1" applyFill="1" applyBorder="1" applyAlignment="1">
      <alignment wrapText="1"/>
    </xf>
    <xf numFmtId="0" fontId="19" fillId="0" borderId="6" xfId="0" applyFont="1" applyFill="1" applyBorder="1" applyAlignment="1">
      <alignment vertical="top" wrapText="1"/>
    </xf>
    <xf numFmtId="49" fontId="8" fillId="0" borderId="0" xfId="0" applyNumberFormat="1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right" wrapText="1"/>
    </xf>
    <xf numFmtId="0" fontId="20" fillId="0" borderId="0" xfId="0" applyFont="1" applyFill="1"/>
    <xf numFmtId="164" fontId="0" fillId="0" borderId="1" xfId="0" applyNumberFormat="1" applyFont="1" applyFill="1" applyBorder="1"/>
    <xf numFmtId="0" fontId="9" fillId="0" borderId="2" xfId="0" applyFont="1" applyFill="1" applyBorder="1" applyAlignment="1">
      <alignment horizontal="left" vertical="center"/>
    </xf>
    <xf numFmtId="0" fontId="9" fillId="0" borderId="0" xfId="0" applyFont="1" applyFill="1"/>
    <xf numFmtId="0" fontId="19" fillId="2" borderId="10" xfId="0" applyFont="1" applyFill="1" applyBorder="1" applyAlignment="1">
      <alignment wrapText="1"/>
    </xf>
    <xf numFmtId="0" fontId="19" fillId="2" borderId="1" xfId="0" applyFont="1" applyFill="1" applyBorder="1" applyAlignment="1">
      <alignment horizontal="justify" vertical="top" wrapText="1"/>
    </xf>
    <xf numFmtId="0" fontId="19" fillId="2" borderId="6" xfId="0" applyFont="1" applyFill="1" applyBorder="1" applyAlignment="1">
      <alignment wrapText="1"/>
    </xf>
    <xf numFmtId="0" fontId="19" fillId="2" borderId="1" xfId="0" applyNumberFormat="1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right" wrapText="1"/>
    </xf>
    <xf numFmtId="49" fontId="0" fillId="0" borderId="0" xfId="0" applyNumberFormat="1" applyFont="1" applyFill="1"/>
    <xf numFmtId="0" fontId="22" fillId="0" borderId="0" xfId="0" applyFont="1" applyFill="1"/>
    <xf numFmtId="49" fontId="9" fillId="0" borderId="1" xfId="0" applyNumberFormat="1" applyFont="1" applyFill="1" applyBorder="1" applyAlignment="1">
      <alignment horizontal="left"/>
    </xf>
    <xf numFmtId="0" fontId="0" fillId="0" borderId="1" xfId="0" applyFont="1" applyFill="1" applyBorder="1"/>
    <xf numFmtId="0" fontId="9" fillId="0" borderId="9" xfId="0" applyFont="1" applyFill="1" applyBorder="1" applyAlignment="1">
      <alignment vertical="center"/>
    </xf>
    <xf numFmtId="164" fontId="11" fillId="0" borderId="1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164" fontId="0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Fill="1" applyBorder="1" applyAlignment="1">
      <alignment vertical="center"/>
    </xf>
    <xf numFmtId="0" fontId="25" fillId="0" borderId="0" xfId="0" applyFont="1" applyFill="1"/>
    <xf numFmtId="49" fontId="26" fillId="0" borderId="0" xfId="0" applyNumberFormat="1" applyFont="1" applyFill="1" applyBorder="1"/>
    <xf numFmtId="49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/>
    <xf numFmtId="164" fontId="26" fillId="0" borderId="0" xfId="0" applyNumberFormat="1" applyFont="1" applyFill="1" applyBorder="1"/>
    <xf numFmtId="164" fontId="25" fillId="0" borderId="0" xfId="0" applyNumberFormat="1" applyFont="1" applyFill="1"/>
    <xf numFmtId="2" fontId="28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Border="1" applyAlignment="1">
      <alignment horizontal="right" wrapText="1"/>
    </xf>
    <xf numFmtId="0" fontId="29" fillId="0" borderId="0" xfId="0" applyFont="1" applyFill="1"/>
    <xf numFmtId="164" fontId="29" fillId="0" borderId="0" xfId="0" applyNumberFormat="1" applyFont="1" applyFill="1"/>
    <xf numFmtId="165" fontId="25" fillId="0" borderId="0" xfId="0" applyNumberFormat="1" applyFont="1" applyFill="1"/>
    <xf numFmtId="0" fontId="30" fillId="0" borderId="0" xfId="0" applyFont="1" applyFill="1"/>
    <xf numFmtId="49" fontId="8" fillId="0" borderId="17" xfId="0" applyNumberFormat="1" applyFont="1" applyFill="1" applyBorder="1" applyAlignment="1">
      <alignment horizontal="left" wrapText="1"/>
    </xf>
    <xf numFmtId="0" fontId="27" fillId="0" borderId="1" xfId="0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4" fontId="26" fillId="0" borderId="18" xfId="0" applyNumberFormat="1" applyFont="1" applyFill="1" applyBorder="1" applyAlignment="1">
      <alignment horizontal="right" vertical="center"/>
    </xf>
    <xf numFmtId="164" fontId="26" fillId="0" borderId="1" xfId="0" applyNumberFormat="1" applyFont="1" applyFill="1" applyBorder="1" applyAlignment="1">
      <alignment vertical="center"/>
    </xf>
    <xf numFmtId="49" fontId="26" fillId="0" borderId="1" xfId="0" applyNumberFormat="1" applyFont="1" applyFill="1" applyBorder="1"/>
    <xf numFmtId="0" fontId="26" fillId="0" borderId="1" xfId="0" applyFont="1" applyFill="1" applyBorder="1"/>
    <xf numFmtId="0" fontId="25" fillId="0" borderId="0" xfId="0" applyFont="1" applyFill="1" applyAlignment="1">
      <alignment vertical="center"/>
    </xf>
    <xf numFmtId="0" fontId="6" fillId="0" borderId="1" xfId="0" applyFont="1" applyFill="1" applyBorder="1"/>
    <xf numFmtId="164" fontId="6" fillId="0" borderId="1" xfId="0" applyNumberFormat="1" applyFont="1" applyFill="1" applyBorder="1"/>
    <xf numFmtId="166" fontId="25" fillId="0" borderId="0" xfId="0" applyNumberFormat="1" applyFont="1" applyFill="1"/>
    <xf numFmtId="0" fontId="31" fillId="0" borderId="0" xfId="0" applyFont="1" applyFill="1"/>
    <xf numFmtId="0" fontId="32" fillId="0" borderId="0" xfId="0" applyFont="1" applyFill="1"/>
    <xf numFmtId="167" fontId="25" fillId="0" borderId="0" xfId="0" applyNumberFormat="1" applyFont="1" applyFill="1"/>
    <xf numFmtId="0" fontId="33" fillId="0" borderId="0" xfId="0" applyFont="1" applyFill="1"/>
    <xf numFmtId="0" fontId="27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0" fontId="27" fillId="0" borderId="0" xfId="0" applyNumberFormat="1" applyFont="1" applyFill="1" applyBorder="1" applyAlignment="1">
      <alignment horizontal="left" vertical="top" wrapText="1"/>
    </xf>
    <xf numFmtId="0" fontId="34" fillId="0" borderId="0" xfId="0" applyFont="1"/>
    <xf numFmtId="0" fontId="27" fillId="0" borderId="0" xfId="0" applyFont="1"/>
    <xf numFmtId="164" fontId="27" fillId="0" borderId="18" xfId="0" applyNumberFormat="1" applyFont="1" applyFill="1" applyBorder="1" applyAlignment="1">
      <alignment horizontal="right" vertical="top"/>
    </xf>
    <xf numFmtId="49" fontId="4" fillId="0" borderId="1" xfId="0" applyNumberFormat="1" applyFont="1" applyFill="1" applyBorder="1" applyAlignment="1">
      <alignment horizontal="left"/>
    </xf>
    <xf numFmtId="164" fontId="27" fillId="0" borderId="1" xfId="0" applyNumberFormat="1" applyFont="1" applyFill="1" applyBorder="1" applyAlignment="1">
      <alignment horizontal="right"/>
    </xf>
    <xf numFmtId="49" fontId="4" fillId="0" borderId="17" xfId="0" applyNumberFormat="1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/>
    </xf>
    <xf numFmtId="0" fontId="36" fillId="0" borderId="0" xfId="0" applyFont="1" applyFill="1"/>
    <xf numFmtId="0" fontId="4" fillId="0" borderId="1" xfId="0" applyFont="1" applyFill="1" applyBorder="1" applyAlignment="1">
      <alignment vertical="center"/>
    </xf>
    <xf numFmtId="164" fontId="27" fillId="0" borderId="1" xfId="0" applyNumberFormat="1" applyFont="1" applyFill="1" applyBorder="1"/>
    <xf numFmtId="164" fontId="4" fillId="0" borderId="1" xfId="0" applyNumberFormat="1" applyFont="1" applyFill="1" applyBorder="1" applyAlignment="1">
      <alignment vertical="center"/>
    </xf>
    <xf numFmtId="0" fontId="27" fillId="0" borderId="1" xfId="0" applyFont="1" applyFill="1" applyBorder="1" applyAlignment="1">
      <alignment vertical="top" wrapText="1"/>
    </xf>
    <xf numFmtId="16" fontId="27" fillId="0" borderId="0" xfId="0" applyNumberFormat="1" applyFont="1" applyFill="1" applyBorder="1" applyAlignment="1">
      <alignment wrapText="1"/>
    </xf>
    <xf numFmtId="0" fontId="27" fillId="0" borderId="0" xfId="0" applyFont="1" applyFill="1" applyAlignment="1">
      <alignment vertical="top" wrapText="1"/>
    </xf>
    <xf numFmtId="0" fontId="27" fillId="0" borderId="1" xfId="0" applyFont="1" applyFill="1" applyBorder="1" applyAlignment="1">
      <alignment vertical="justify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justify"/>
    </xf>
    <xf numFmtId="0" fontId="9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vertical="justify"/>
    </xf>
    <xf numFmtId="164" fontId="24" fillId="0" borderId="1" xfId="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justify"/>
    </xf>
    <xf numFmtId="164" fontId="27" fillId="0" borderId="0" xfId="0" applyNumberFormat="1" applyFont="1" applyFill="1" applyBorder="1" applyAlignment="1">
      <alignment horizontal="center" vertical="center" wrapText="1"/>
    </xf>
    <xf numFmtId="164" fontId="24" fillId="0" borderId="0" xfId="2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left" vertical="center"/>
    </xf>
    <xf numFmtId="2" fontId="29" fillId="0" borderId="0" xfId="2" applyNumberFormat="1" applyFont="1" applyFill="1"/>
    <xf numFmtId="164" fontId="4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wrapText="1"/>
    </xf>
    <xf numFmtId="0" fontId="27" fillId="0" borderId="2" xfId="0" applyFont="1" applyFill="1" applyBorder="1" applyAlignment="1">
      <alignment vertical="top" wrapText="1"/>
    </xf>
    <xf numFmtId="0" fontId="4" fillId="0" borderId="17" xfId="0" applyNumberFormat="1" applyFont="1" applyFill="1" applyBorder="1" applyAlignment="1">
      <alignment horizontal="left" vertical="center"/>
    </xf>
    <xf numFmtId="0" fontId="24" fillId="0" borderId="7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right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left" vertical="center"/>
    </xf>
    <xf numFmtId="165" fontId="26" fillId="0" borderId="1" xfId="0" applyNumberFormat="1" applyFont="1" applyFill="1" applyBorder="1"/>
    <xf numFmtId="165" fontId="29" fillId="0" borderId="0" xfId="0" applyNumberFormat="1" applyFont="1" applyFill="1"/>
    <xf numFmtId="43" fontId="29" fillId="0" borderId="0" xfId="2" applyFont="1" applyFill="1"/>
    <xf numFmtId="164" fontId="27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9" xfId="0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horizontal="left" wrapText="1"/>
    </xf>
    <xf numFmtId="49" fontId="27" fillId="0" borderId="0" xfId="0" applyNumberFormat="1" applyFont="1" applyFill="1" applyBorder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4" fillId="0" borderId="7" xfId="0" applyNumberFormat="1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 wrapText="1"/>
    </xf>
    <xf numFmtId="0" fontId="24" fillId="0" borderId="2" xfId="0" applyFont="1" applyFill="1" applyBorder="1" applyAlignment="1">
      <alignment horizontal="center" vertical="center"/>
    </xf>
    <xf numFmtId="164" fontId="27" fillId="0" borderId="2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5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left"/>
    </xf>
    <xf numFmtId="49" fontId="9" fillId="0" borderId="7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 wrapText="1"/>
    </xf>
    <xf numFmtId="164" fontId="1" fillId="0" borderId="0" xfId="0" applyNumberFormat="1" applyFont="1" applyFill="1" applyAlignment="1">
      <alignment horizontal="right" wrapText="1"/>
    </xf>
    <xf numFmtId="0" fontId="11" fillId="0" borderId="6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/>
    </xf>
    <xf numFmtId="0" fontId="11" fillId="0" borderId="10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5" xfId="0" applyFont="1" applyFill="1" applyBorder="1" applyAlignment="1">
      <alignment horizontal="left" vertical="top" wrapText="1"/>
    </xf>
    <xf numFmtId="0" fontId="11" fillId="0" borderId="16" xfId="0" applyFont="1" applyFill="1" applyBorder="1" applyAlignment="1">
      <alignment horizontal="left" vertical="top" wrapText="1"/>
    </xf>
    <xf numFmtId="0" fontId="11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4" fontId="11" fillId="0" borderId="2" xfId="0" applyNumberFormat="1" applyFont="1" applyFill="1" applyBorder="1" applyAlignment="1">
      <alignment vertical="center"/>
    </xf>
    <xf numFmtId="164" fontId="11" fillId="0" borderId="8" xfId="0" applyNumberFormat="1" applyFont="1" applyFill="1" applyBorder="1" applyAlignment="1">
      <alignment vertical="center"/>
    </xf>
    <xf numFmtId="164" fontId="11" fillId="0" borderId="9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4" fillId="0" borderId="0" xfId="0" applyNumberFormat="1" applyFont="1" applyFill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17" fillId="0" borderId="0" xfId="0" applyNumberFormat="1" applyFont="1" applyFill="1" applyAlignment="1">
      <alignment horizontal="left" wrapText="1"/>
    </xf>
    <xf numFmtId="0" fontId="6" fillId="0" borderId="0" xfId="0" applyNumberFormat="1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14" fillId="0" borderId="0" xfId="0" applyFont="1" applyFill="1" applyAlignment="1">
      <alignment horizontal="left" wrapText="1"/>
    </xf>
    <xf numFmtId="0" fontId="14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49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left" wrapText="1"/>
    </xf>
    <xf numFmtId="49" fontId="4" fillId="0" borderId="0" xfId="0" applyNumberFormat="1" applyFont="1" applyFill="1" applyBorder="1" applyAlignment="1">
      <alignment horizontal="left" wrapText="1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7" xfId="0" applyNumberFormat="1" applyFont="1" applyFill="1" applyBorder="1" applyAlignment="1">
      <alignment horizontal="left" vertical="center"/>
    </xf>
    <xf numFmtId="16" fontId="6" fillId="0" borderId="0" xfId="0" applyNumberFormat="1" applyFont="1" applyFill="1" applyAlignment="1">
      <alignment horizontal="left" wrapText="1"/>
    </xf>
    <xf numFmtId="0" fontId="4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 wrapText="1"/>
    </xf>
    <xf numFmtId="16" fontId="4" fillId="0" borderId="0" xfId="0" applyNumberFormat="1" applyFont="1" applyFill="1" applyBorder="1" applyAlignment="1">
      <alignment horizontal="left" vertical="top" wrapText="1"/>
    </xf>
    <xf numFmtId="16" fontId="4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wrapText="1"/>
    </xf>
    <xf numFmtId="0" fontId="27" fillId="0" borderId="0" xfId="0" applyNumberFormat="1" applyFont="1" applyFill="1" applyAlignment="1">
      <alignment horizontal="left" wrapText="1"/>
    </xf>
    <xf numFmtId="0" fontId="27" fillId="0" borderId="6" xfId="0" applyFont="1" applyFill="1" applyBorder="1" applyAlignment="1">
      <alignment horizontal="left" vertical="top" wrapText="1"/>
    </xf>
    <xf numFmtId="0" fontId="27" fillId="0" borderId="11" xfId="0" applyFont="1" applyFill="1" applyBorder="1" applyAlignment="1">
      <alignment horizontal="left" vertical="top" wrapText="1"/>
    </xf>
    <xf numFmtId="0" fontId="27" fillId="0" borderId="7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/>
    </xf>
    <xf numFmtId="49" fontId="4" fillId="0" borderId="11" xfId="0" applyNumberFormat="1" applyFont="1" applyFill="1" applyBorder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0" fontId="24" fillId="0" borderId="0" xfId="0" applyNumberFormat="1" applyFont="1" applyFill="1" applyAlignment="1">
      <alignment horizontal="left" wrapText="1"/>
    </xf>
    <xf numFmtId="0" fontId="23" fillId="0" borderId="0" xfId="0" applyNumberFormat="1" applyFont="1" applyFill="1" applyAlignment="1">
      <alignment horizontal="left" wrapText="1"/>
    </xf>
    <xf numFmtId="49" fontId="27" fillId="0" borderId="0" xfId="0" applyNumberFormat="1" applyFont="1" applyFill="1" applyBorder="1" applyAlignment="1">
      <alignment horizontal="left" wrapText="1"/>
    </xf>
    <xf numFmtId="0" fontId="24" fillId="0" borderId="6" xfId="0" applyFont="1" applyFill="1" applyBorder="1" applyAlignment="1">
      <alignment horizontal="center"/>
    </xf>
    <xf numFmtId="0" fontId="24" fillId="0" borderId="11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left" vertical="center"/>
    </xf>
    <xf numFmtId="0" fontId="4" fillId="0" borderId="7" xfId="0" applyNumberFormat="1" applyFont="1" applyFill="1" applyBorder="1" applyAlignment="1">
      <alignment horizontal="left" vertical="center"/>
    </xf>
    <xf numFmtId="164" fontId="27" fillId="0" borderId="1" xfId="0" applyNumberFormat="1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wrapText="1"/>
    </xf>
    <xf numFmtId="0" fontId="27" fillId="0" borderId="8" xfId="0" applyFont="1" applyFill="1" applyBorder="1" applyAlignment="1">
      <alignment horizontal="center" wrapText="1"/>
    </xf>
    <xf numFmtId="0" fontId="27" fillId="0" borderId="9" xfId="0" applyFont="1" applyFill="1" applyBorder="1" applyAlignment="1">
      <alignment horizontal="center" wrapText="1"/>
    </xf>
    <xf numFmtId="164" fontId="27" fillId="0" borderId="6" xfId="0" applyNumberFormat="1" applyFont="1" applyFill="1" applyBorder="1" applyAlignment="1">
      <alignment horizontal="center" vertical="center" wrapText="1"/>
    </xf>
    <xf numFmtId="164" fontId="27" fillId="0" borderId="7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wrapText="1"/>
    </xf>
    <xf numFmtId="49" fontId="27" fillId="0" borderId="0" xfId="0" applyNumberFormat="1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 wrapText="1"/>
    </xf>
    <xf numFmtId="0" fontId="27" fillId="2" borderId="0" xfId="0" applyFont="1" applyFill="1" applyAlignment="1">
      <alignment horizontal="left" vertical="top" wrapText="1"/>
    </xf>
    <xf numFmtId="16" fontId="27" fillId="0" borderId="0" xfId="0" applyNumberFormat="1" applyFont="1" applyFill="1" applyBorder="1" applyAlignment="1">
      <alignment horizontal="left" wrapText="1"/>
    </xf>
    <xf numFmtId="0" fontId="27" fillId="0" borderId="0" xfId="0" applyFont="1" applyFill="1" applyBorder="1" applyAlignment="1">
      <alignment horizontal="left" vertical="justify" wrapText="1"/>
    </xf>
    <xf numFmtId="0" fontId="24" fillId="0" borderId="17" xfId="0" applyFont="1" applyFill="1" applyBorder="1" applyAlignment="1">
      <alignment horizontal="left" vertical="center"/>
    </xf>
    <xf numFmtId="16" fontId="27" fillId="0" borderId="0" xfId="0" applyNumberFormat="1" applyFont="1" applyFill="1" applyBorder="1" applyAlignment="1">
      <alignment horizontal="left" vertical="top" wrapText="1"/>
    </xf>
    <xf numFmtId="16" fontId="24" fillId="0" borderId="0" xfId="0" applyNumberFormat="1" applyFont="1" applyFill="1" applyBorder="1" applyAlignment="1">
      <alignment horizontal="left" wrapText="1"/>
    </xf>
    <xf numFmtId="164" fontId="27" fillId="0" borderId="0" xfId="0" applyNumberFormat="1" applyFont="1" applyFill="1" applyAlignment="1">
      <alignment horizontal="right" wrapText="1"/>
    </xf>
    <xf numFmtId="49" fontId="26" fillId="0" borderId="1" xfId="0" applyNumberFormat="1" applyFont="1" applyFill="1" applyBorder="1" applyAlignment="1">
      <alignment horizontal="center"/>
    </xf>
    <xf numFmtId="0" fontId="24" fillId="0" borderId="2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left"/>
    </xf>
    <xf numFmtId="164" fontId="27" fillId="0" borderId="2" xfId="0" applyNumberFormat="1" applyFont="1" applyFill="1" applyBorder="1" applyAlignment="1">
      <alignment horizontal="right" vertical="center"/>
    </xf>
    <xf numFmtId="164" fontId="27" fillId="0" borderId="8" xfId="0" applyNumberFormat="1" applyFont="1" applyFill="1" applyBorder="1" applyAlignment="1">
      <alignment horizontal="right" vertical="center"/>
    </xf>
    <xf numFmtId="164" fontId="27" fillId="0" borderId="9" xfId="0" applyNumberFormat="1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 wrapText="1"/>
    </xf>
    <xf numFmtId="164" fontId="27" fillId="0" borderId="1" xfId="0" applyNumberFormat="1" applyFont="1" applyFill="1" applyBorder="1" applyAlignment="1">
      <alignment horizontal="right" vertical="top"/>
    </xf>
    <xf numFmtId="0" fontId="27" fillId="0" borderId="2" xfId="0" applyFont="1" applyFill="1" applyBorder="1" applyAlignment="1">
      <alignment horizontal="center" vertical="top" wrapText="1"/>
    </xf>
    <xf numFmtId="0" fontId="27" fillId="0" borderId="8" xfId="0" applyFont="1" applyFill="1" applyBorder="1" applyAlignment="1">
      <alignment horizontal="center" vertical="top" wrapText="1"/>
    </xf>
    <xf numFmtId="0" fontId="27" fillId="0" borderId="9" xfId="0" applyFont="1" applyFill="1" applyBorder="1" applyAlignment="1">
      <alignment horizontal="center" vertical="top" wrapText="1"/>
    </xf>
    <xf numFmtId="0" fontId="27" fillId="2" borderId="0" xfId="0" applyFont="1" applyFill="1" applyBorder="1" applyAlignment="1">
      <alignment horizontal="left" wrapText="1"/>
    </xf>
    <xf numFmtId="0" fontId="24" fillId="0" borderId="0" xfId="0" applyNumberFormat="1" applyFont="1" applyFill="1" applyBorder="1" applyAlignment="1">
      <alignment horizontal="left" wrapText="1"/>
    </xf>
    <xf numFmtId="0" fontId="35" fillId="0" borderId="0" xfId="0" applyFont="1" applyAlignment="1">
      <alignment horizontal="center"/>
    </xf>
    <xf numFmtId="0" fontId="27" fillId="0" borderId="0" xfId="0" applyNumberFormat="1" applyFont="1" applyFill="1" applyBorder="1" applyAlignment="1">
      <alignment horizontal="left" vertical="top" wrapText="1"/>
    </xf>
    <xf numFmtId="0" fontId="27" fillId="0" borderId="0" xfId="0" applyFont="1" applyFill="1" applyAlignment="1">
      <alignment horizontal="left"/>
    </xf>
    <xf numFmtId="0" fontId="27" fillId="0" borderId="0" xfId="0" applyFont="1" applyAlignment="1">
      <alignment horizontal="left" wrapText="1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</cellXfs>
  <cellStyles count="3">
    <cellStyle name="Обычный" xfId="0" builtinId="0"/>
    <cellStyle name="Процентный 2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N231"/>
  <sheetViews>
    <sheetView topLeftCell="A22" zoomScale="90" zoomScaleNormal="90" zoomScaleSheetLayoutView="75" workbookViewId="0">
      <selection activeCell="I34" sqref="I34"/>
    </sheetView>
  </sheetViews>
  <sheetFormatPr defaultColWidth="9.140625" defaultRowHeight="12.75" x14ac:dyDescent="0.2"/>
  <cols>
    <col min="1" max="1" width="35.85546875" style="5" customWidth="1"/>
    <col min="2" max="2" width="12.28515625" style="5" customWidth="1"/>
    <col min="3" max="3" width="14.5703125" style="5" customWidth="1"/>
    <col min="4" max="4" width="12.7109375" style="5" customWidth="1"/>
    <col min="5" max="5" width="16.42578125" style="5" customWidth="1"/>
    <col min="6" max="6" width="23" style="5" customWidth="1"/>
    <col min="7" max="8" width="9.5703125" style="5" customWidth="1"/>
    <col min="9" max="9" width="9.140625" style="5" customWidth="1"/>
    <col min="10" max="10" width="9.5703125" style="5" customWidth="1"/>
    <col min="11" max="12" width="9.140625" style="5" customWidth="1"/>
    <col min="13" max="13" width="13.140625" style="5" customWidth="1"/>
    <col min="14" max="14" width="9.140625" style="5" customWidth="1"/>
    <col min="15" max="16384" width="9.140625" style="5"/>
  </cols>
  <sheetData>
    <row r="1" spans="1:8" ht="19.5" customHeight="1" x14ac:dyDescent="0.25">
      <c r="A1" s="224" t="s">
        <v>0</v>
      </c>
      <c r="B1" s="224"/>
      <c r="C1" s="224"/>
      <c r="D1" s="224"/>
      <c r="E1" s="224"/>
      <c r="F1" s="224"/>
    </row>
    <row r="2" spans="1:8" ht="66.75" customHeight="1" x14ac:dyDescent="0.2">
      <c r="A2" s="225" t="s">
        <v>79</v>
      </c>
      <c r="B2" s="225"/>
      <c r="C2" s="225"/>
      <c r="D2" s="225"/>
      <c r="E2" s="225"/>
      <c r="F2" s="225"/>
    </row>
    <row r="3" spans="1:8" ht="15.75" customHeight="1" x14ac:dyDescent="0.3">
      <c r="A3" s="217" t="s">
        <v>90</v>
      </c>
      <c r="B3" s="217"/>
      <c r="C3" s="217"/>
      <c r="D3" s="217"/>
      <c r="E3" s="217"/>
      <c r="F3" s="217"/>
      <c r="G3" s="6"/>
      <c r="H3" s="6"/>
    </row>
    <row r="4" spans="1:8" ht="65.25" customHeight="1" x14ac:dyDescent="0.3">
      <c r="A4" s="226" t="s">
        <v>222</v>
      </c>
      <c r="B4" s="226"/>
      <c r="C4" s="226"/>
      <c r="D4" s="226"/>
      <c r="E4" s="226"/>
      <c r="F4" s="226"/>
      <c r="G4" s="6"/>
      <c r="H4" s="6"/>
    </row>
    <row r="5" spans="1:8" ht="18.75" customHeight="1" x14ac:dyDescent="0.3">
      <c r="A5" s="227" t="s">
        <v>233</v>
      </c>
      <c r="B5" s="227"/>
      <c r="C5" s="227"/>
      <c r="D5" s="227"/>
      <c r="E5" s="227"/>
      <c r="F5" s="227"/>
      <c r="G5" s="6"/>
      <c r="H5" s="6"/>
    </row>
    <row r="6" spans="1:8" ht="18.75" customHeight="1" x14ac:dyDescent="0.3">
      <c r="A6" s="227" t="s">
        <v>234</v>
      </c>
      <c r="B6" s="227"/>
      <c r="C6" s="227"/>
      <c r="D6" s="227"/>
      <c r="E6" s="227"/>
      <c r="F6" s="227"/>
      <c r="G6" s="6"/>
      <c r="H6" s="6"/>
    </row>
    <row r="7" spans="1:8" ht="17.25" customHeight="1" x14ac:dyDescent="0.3">
      <c r="A7" s="227" t="s">
        <v>235</v>
      </c>
      <c r="B7" s="227"/>
      <c r="C7" s="227"/>
      <c r="D7" s="227"/>
      <c r="E7" s="227"/>
      <c r="F7" s="227"/>
      <c r="G7" s="6"/>
      <c r="H7" s="6"/>
    </row>
    <row r="8" spans="1:8" ht="15.75" customHeight="1" x14ac:dyDescent="0.3">
      <c r="A8" s="217" t="s">
        <v>236</v>
      </c>
      <c r="B8" s="217"/>
      <c r="C8" s="217"/>
      <c r="D8" s="217"/>
      <c r="E8" s="217"/>
      <c r="F8" s="217"/>
      <c r="G8" s="6"/>
      <c r="H8" s="6"/>
    </row>
    <row r="9" spans="1:8" ht="35.25" customHeight="1" x14ac:dyDescent="0.3">
      <c r="A9" s="228" t="s">
        <v>91</v>
      </c>
      <c r="B9" s="228"/>
      <c r="C9" s="228"/>
      <c r="D9" s="228"/>
      <c r="E9" s="228"/>
      <c r="F9" s="228"/>
      <c r="G9" s="6"/>
      <c r="H9" s="6"/>
    </row>
    <row r="10" spans="1:8" ht="33.75" customHeight="1" x14ac:dyDescent="0.3">
      <c r="A10" s="50" t="s">
        <v>15</v>
      </c>
      <c r="B10" s="51" t="s">
        <v>46</v>
      </c>
      <c r="C10" s="51" t="s">
        <v>205</v>
      </c>
      <c r="D10" s="51" t="s">
        <v>16</v>
      </c>
      <c r="E10" s="51" t="s">
        <v>17</v>
      </c>
      <c r="F10" s="51" t="s">
        <v>18</v>
      </c>
      <c r="G10" s="6"/>
      <c r="H10" s="6"/>
    </row>
    <row r="11" spans="1:8" ht="36" customHeight="1" x14ac:dyDescent="0.3">
      <c r="A11" s="52" t="s">
        <v>76</v>
      </c>
      <c r="B11" s="28">
        <v>490</v>
      </c>
      <c r="C11" s="28">
        <v>529.79999999999995</v>
      </c>
      <c r="D11" s="28">
        <v>530</v>
      </c>
      <c r="E11" s="28">
        <f t="shared" ref="E11:E24" si="0">D11-B11</f>
        <v>40</v>
      </c>
      <c r="F11" s="29" t="s">
        <v>206</v>
      </c>
      <c r="G11" s="6"/>
      <c r="H11" s="6"/>
    </row>
    <row r="12" spans="1:8" ht="60" customHeight="1" x14ac:dyDescent="0.3">
      <c r="A12" s="53" t="s">
        <v>48</v>
      </c>
      <c r="B12" s="28">
        <v>273</v>
      </c>
      <c r="C12" s="28">
        <v>535.5</v>
      </c>
      <c r="D12" s="28">
        <v>573</v>
      </c>
      <c r="E12" s="28">
        <f t="shared" si="0"/>
        <v>300</v>
      </c>
      <c r="F12" s="29" t="s">
        <v>207</v>
      </c>
      <c r="G12" s="6"/>
      <c r="H12" s="6"/>
    </row>
    <row r="13" spans="1:8" ht="46.5" customHeight="1" x14ac:dyDescent="0.3">
      <c r="A13" s="53" t="s">
        <v>47</v>
      </c>
      <c r="B13" s="28">
        <v>40</v>
      </c>
      <c r="C13" s="28">
        <v>70.599999999999994</v>
      </c>
      <c r="D13" s="28">
        <v>120</v>
      </c>
      <c r="E13" s="28">
        <f t="shared" si="0"/>
        <v>80</v>
      </c>
      <c r="F13" s="29" t="s">
        <v>208</v>
      </c>
      <c r="G13" s="6"/>
      <c r="H13" s="6"/>
    </row>
    <row r="14" spans="1:8" ht="90" customHeight="1" x14ac:dyDescent="0.3">
      <c r="A14" s="62" t="s">
        <v>209</v>
      </c>
      <c r="B14" s="28">
        <v>439</v>
      </c>
      <c r="C14" s="28">
        <v>25</v>
      </c>
      <c r="D14" s="28">
        <v>138</v>
      </c>
      <c r="E14" s="28">
        <f t="shared" si="0"/>
        <v>-301</v>
      </c>
      <c r="F14" s="29" t="s">
        <v>223</v>
      </c>
      <c r="G14" s="6"/>
      <c r="H14" s="6"/>
    </row>
    <row r="15" spans="1:8" ht="48" customHeight="1" x14ac:dyDescent="0.3">
      <c r="A15" s="54" t="s">
        <v>19</v>
      </c>
      <c r="B15" s="28">
        <v>298</v>
      </c>
      <c r="C15" s="28">
        <v>329.8</v>
      </c>
      <c r="D15" s="28">
        <v>398</v>
      </c>
      <c r="E15" s="28">
        <f t="shared" si="0"/>
        <v>100</v>
      </c>
      <c r="F15" s="29" t="s">
        <v>210</v>
      </c>
      <c r="G15" s="6"/>
      <c r="H15" s="6"/>
    </row>
    <row r="16" spans="1:8" ht="44.25" customHeight="1" x14ac:dyDescent="0.3">
      <c r="A16" s="54" t="s">
        <v>77</v>
      </c>
      <c r="B16" s="28">
        <v>7</v>
      </c>
      <c r="C16" s="28">
        <v>17.600000000000001</v>
      </c>
      <c r="D16" s="28">
        <v>22</v>
      </c>
      <c r="E16" s="28">
        <f t="shared" si="0"/>
        <v>15</v>
      </c>
      <c r="F16" s="29" t="s">
        <v>211</v>
      </c>
      <c r="G16" s="6"/>
      <c r="H16" s="6"/>
    </row>
    <row r="17" spans="1:8" ht="40.5" customHeight="1" x14ac:dyDescent="0.3">
      <c r="A17" s="54" t="s">
        <v>23</v>
      </c>
      <c r="B17" s="28">
        <v>1062</v>
      </c>
      <c r="C17" s="28">
        <v>1432.6</v>
      </c>
      <c r="D17" s="28">
        <v>1512</v>
      </c>
      <c r="E17" s="28">
        <f t="shared" si="0"/>
        <v>450</v>
      </c>
      <c r="F17" s="29" t="s">
        <v>212</v>
      </c>
      <c r="G17" s="6"/>
      <c r="H17" s="6"/>
    </row>
    <row r="18" spans="1:8" ht="75.75" customHeight="1" x14ac:dyDescent="0.3">
      <c r="A18" s="55" t="s">
        <v>78</v>
      </c>
      <c r="B18" s="28">
        <v>9714</v>
      </c>
      <c r="C18" s="28">
        <v>10459.200000000001</v>
      </c>
      <c r="D18" s="28">
        <v>11214</v>
      </c>
      <c r="E18" s="28">
        <f t="shared" si="0"/>
        <v>1500</v>
      </c>
      <c r="F18" s="29" t="s">
        <v>213</v>
      </c>
      <c r="G18" s="6"/>
      <c r="H18" s="6"/>
    </row>
    <row r="19" spans="1:8" ht="160.5" customHeight="1" x14ac:dyDescent="0.3">
      <c r="A19" s="63" t="s">
        <v>237</v>
      </c>
      <c r="B19" s="28">
        <v>160</v>
      </c>
      <c r="C19" s="28">
        <v>87.1</v>
      </c>
      <c r="D19" s="28">
        <v>158</v>
      </c>
      <c r="E19" s="28">
        <f t="shared" si="0"/>
        <v>-2</v>
      </c>
      <c r="F19" s="29" t="s">
        <v>214</v>
      </c>
      <c r="G19" s="6"/>
      <c r="H19" s="6"/>
    </row>
    <row r="20" spans="1:8" ht="78.75" customHeight="1" x14ac:dyDescent="0.3">
      <c r="A20" s="64" t="s">
        <v>215</v>
      </c>
      <c r="B20" s="28">
        <v>10</v>
      </c>
      <c r="C20" s="28">
        <v>11.5</v>
      </c>
      <c r="D20" s="28">
        <v>12</v>
      </c>
      <c r="E20" s="28">
        <f t="shared" si="0"/>
        <v>2</v>
      </c>
      <c r="F20" s="29" t="s">
        <v>216</v>
      </c>
      <c r="G20" s="6"/>
      <c r="H20" s="6"/>
    </row>
    <row r="21" spans="1:8" ht="90.75" customHeight="1" x14ac:dyDescent="0.3">
      <c r="A21" s="64" t="s">
        <v>49</v>
      </c>
      <c r="B21" s="28">
        <v>209</v>
      </c>
      <c r="C21" s="28">
        <v>225</v>
      </c>
      <c r="D21" s="28">
        <v>239</v>
      </c>
      <c r="E21" s="28">
        <f t="shared" si="0"/>
        <v>30</v>
      </c>
      <c r="F21" s="29" t="s">
        <v>217</v>
      </c>
      <c r="G21" s="6"/>
      <c r="H21" s="6"/>
    </row>
    <row r="22" spans="1:8" ht="76.5" customHeight="1" x14ac:dyDescent="0.3">
      <c r="A22" s="64" t="s">
        <v>219</v>
      </c>
      <c r="B22" s="28">
        <v>30</v>
      </c>
      <c r="C22" s="28">
        <v>35</v>
      </c>
      <c r="D22" s="28">
        <v>40</v>
      </c>
      <c r="E22" s="28">
        <f>D22-B22</f>
        <v>10</v>
      </c>
      <c r="F22" s="29" t="s">
        <v>220</v>
      </c>
      <c r="G22" s="6"/>
      <c r="H22" s="6"/>
    </row>
    <row r="23" spans="1:8" ht="105.75" customHeight="1" x14ac:dyDescent="0.3">
      <c r="A23" s="65" t="s">
        <v>24</v>
      </c>
      <c r="B23" s="28">
        <v>41</v>
      </c>
      <c r="C23" s="28">
        <v>82.8</v>
      </c>
      <c r="D23" s="28">
        <v>81</v>
      </c>
      <c r="E23" s="28">
        <f t="shared" si="0"/>
        <v>40</v>
      </c>
      <c r="F23" s="29" t="s">
        <v>218</v>
      </c>
      <c r="G23" s="6"/>
      <c r="H23" s="6"/>
    </row>
    <row r="24" spans="1:8" ht="63" customHeight="1" thickBot="1" x14ac:dyDescent="0.35">
      <c r="A24" s="54" t="s">
        <v>33</v>
      </c>
      <c r="B24" s="28">
        <v>4822</v>
      </c>
      <c r="C24" s="28">
        <v>1761.9</v>
      </c>
      <c r="D24" s="28">
        <v>4058</v>
      </c>
      <c r="E24" s="28">
        <f t="shared" si="0"/>
        <v>-764</v>
      </c>
      <c r="F24" s="29" t="s">
        <v>221</v>
      </c>
      <c r="G24" s="6"/>
      <c r="H24" s="6"/>
    </row>
    <row r="25" spans="1:8" ht="18" customHeight="1" thickBot="1" x14ac:dyDescent="0.35">
      <c r="A25" s="30" t="s">
        <v>6</v>
      </c>
      <c r="B25" s="22"/>
      <c r="C25" s="22"/>
      <c r="D25" s="22"/>
      <c r="E25" s="66">
        <f>SUM(E11:E24)</f>
        <v>1500</v>
      </c>
      <c r="F25" s="23"/>
      <c r="G25" s="6"/>
      <c r="H25" s="6"/>
    </row>
    <row r="26" spans="1:8" ht="15.75" customHeight="1" x14ac:dyDescent="0.3">
      <c r="A26" s="25"/>
      <c r="B26" s="25"/>
      <c r="C26" s="25"/>
      <c r="D26" s="25"/>
      <c r="E26" s="25"/>
      <c r="F26" s="25"/>
      <c r="G26" s="6"/>
      <c r="H26" s="6"/>
    </row>
    <row r="27" spans="1:8" ht="54" customHeight="1" x14ac:dyDescent="0.3">
      <c r="A27" s="229" t="s">
        <v>242</v>
      </c>
      <c r="B27" s="229"/>
      <c r="C27" s="229"/>
      <c r="D27" s="229"/>
      <c r="E27" s="229"/>
      <c r="F27" s="229"/>
      <c r="G27" s="6"/>
      <c r="H27" s="6"/>
    </row>
    <row r="28" spans="1:8" ht="28.5" customHeight="1" x14ac:dyDescent="0.3">
      <c r="A28" s="221" t="s">
        <v>243</v>
      </c>
      <c r="B28" s="221"/>
      <c r="C28" s="221"/>
      <c r="D28" s="221"/>
      <c r="E28" s="221"/>
      <c r="F28" s="221"/>
      <c r="G28" s="6"/>
      <c r="H28" s="6"/>
    </row>
    <row r="29" spans="1:8" ht="19.5" customHeight="1" x14ac:dyDescent="0.3">
      <c r="A29" s="221"/>
      <c r="B29" s="221"/>
      <c r="C29" s="221"/>
      <c r="D29" s="221"/>
      <c r="E29" s="221"/>
      <c r="F29" s="221"/>
      <c r="G29" s="6"/>
      <c r="H29" s="6"/>
    </row>
    <row r="30" spans="1:8" ht="20.25" customHeight="1" x14ac:dyDescent="0.25">
      <c r="A30" s="222" t="s">
        <v>238</v>
      </c>
      <c r="B30" s="222"/>
      <c r="C30" s="222"/>
      <c r="D30" s="222"/>
      <c r="E30" s="222"/>
      <c r="F30" s="222"/>
    </row>
    <row r="31" spans="1:8" ht="52.5" customHeight="1" x14ac:dyDescent="0.25">
      <c r="A31" s="217" t="s">
        <v>239</v>
      </c>
      <c r="B31" s="217"/>
      <c r="C31" s="217"/>
      <c r="D31" s="217"/>
      <c r="E31" s="217"/>
      <c r="F31" s="217"/>
    </row>
    <row r="32" spans="1:8" ht="21.75" customHeight="1" x14ac:dyDescent="0.25">
      <c r="A32" s="223" t="s">
        <v>31</v>
      </c>
      <c r="B32" s="223"/>
      <c r="C32" s="223"/>
      <c r="D32" s="223"/>
      <c r="E32" s="223"/>
      <c r="F32" s="223"/>
    </row>
    <row r="33" spans="1:6" ht="102.75" customHeight="1" x14ac:dyDescent="0.25">
      <c r="A33" s="217" t="s">
        <v>197</v>
      </c>
      <c r="B33" s="217"/>
      <c r="C33" s="217"/>
      <c r="D33" s="217"/>
      <c r="E33" s="217"/>
      <c r="F33" s="217"/>
    </row>
    <row r="34" spans="1:6" ht="17.25" customHeight="1" x14ac:dyDescent="0.25">
      <c r="A34" s="217" t="s">
        <v>38</v>
      </c>
      <c r="B34" s="217"/>
      <c r="C34" s="217"/>
      <c r="D34" s="217"/>
      <c r="E34" s="217"/>
      <c r="F34" s="217"/>
    </row>
    <row r="35" spans="1:6" ht="35.25" customHeight="1" x14ac:dyDescent="0.25">
      <c r="A35" s="217" t="s">
        <v>108</v>
      </c>
      <c r="B35" s="217"/>
      <c r="C35" s="217"/>
      <c r="D35" s="217"/>
      <c r="E35" s="217"/>
      <c r="F35" s="217"/>
    </row>
    <row r="36" spans="1:6" ht="35.25" customHeight="1" x14ac:dyDescent="0.25">
      <c r="A36" s="217" t="s">
        <v>196</v>
      </c>
      <c r="B36" s="217"/>
      <c r="C36" s="217"/>
      <c r="D36" s="217"/>
      <c r="E36" s="217"/>
      <c r="F36" s="217"/>
    </row>
    <row r="37" spans="1:6" ht="21.75" customHeight="1" x14ac:dyDescent="0.25">
      <c r="A37" s="217" t="s">
        <v>72</v>
      </c>
      <c r="B37" s="217"/>
      <c r="C37" s="217"/>
      <c r="D37" s="217"/>
      <c r="E37" s="217"/>
      <c r="F37" s="217"/>
    </row>
    <row r="38" spans="1:6" ht="84" customHeight="1" x14ac:dyDescent="0.25">
      <c r="A38" s="217" t="s">
        <v>195</v>
      </c>
      <c r="B38" s="217"/>
      <c r="C38" s="217"/>
      <c r="D38" s="217"/>
      <c r="E38" s="217"/>
      <c r="F38" s="217"/>
    </row>
    <row r="39" spans="1:6" s="67" customFormat="1" ht="65.25" customHeight="1" x14ac:dyDescent="0.25">
      <c r="A39" s="218" t="s">
        <v>113</v>
      </c>
      <c r="B39" s="218"/>
      <c r="C39" s="218"/>
      <c r="D39" s="218"/>
      <c r="E39" s="218"/>
      <c r="F39" s="218"/>
    </row>
    <row r="40" spans="1:6" ht="19.5" customHeight="1" x14ac:dyDescent="0.25">
      <c r="A40" s="217" t="s">
        <v>37</v>
      </c>
      <c r="B40" s="217"/>
      <c r="C40" s="217"/>
      <c r="D40" s="217"/>
      <c r="E40" s="217"/>
      <c r="F40" s="217"/>
    </row>
    <row r="41" spans="1:6" ht="17.25" customHeight="1" x14ac:dyDescent="0.25">
      <c r="A41" s="217" t="s">
        <v>70</v>
      </c>
      <c r="B41" s="217"/>
      <c r="C41" s="217"/>
      <c r="D41" s="217"/>
      <c r="E41" s="217"/>
      <c r="F41" s="217"/>
    </row>
    <row r="42" spans="1:6" ht="87" customHeight="1" x14ac:dyDescent="0.25">
      <c r="A42" s="217" t="s">
        <v>226</v>
      </c>
      <c r="B42" s="217"/>
      <c r="C42" s="217"/>
      <c r="D42" s="217"/>
      <c r="E42" s="217"/>
      <c r="F42" s="217"/>
    </row>
    <row r="43" spans="1:6" ht="19.5" customHeight="1" x14ac:dyDescent="0.25">
      <c r="A43" s="217" t="s">
        <v>72</v>
      </c>
      <c r="B43" s="217"/>
      <c r="C43" s="217"/>
      <c r="D43" s="217"/>
      <c r="E43" s="217"/>
      <c r="F43" s="217"/>
    </row>
    <row r="44" spans="1:6" ht="68.25" customHeight="1" x14ac:dyDescent="0.25">
      <c r="A44" s="217" t="s">
        <v>128</v>
      </c>
      <c r="B44" s="217"/>
      <c r="C44" s="217"/>
      <c r="D44" s="217"/>
      <c r="E44" s="217"/>
      <c r="F44" s="217"/>
    </row>
    <row r="45" spans="1:6" ht="12.75" customHeight="1" x14ac:dyDescent="0.25">
      <c r="A45" s="12"/>
      <c r="B45" s="12"/>
      <c r="C45" s="12"/>
      <c r="D45" s="12"/>
      <c r="E45" s="12"/>
      <c r="F45" s="10" t="s">
        <v>7</v>
      </c>
    </row>
    <row r="46" spans="1:6" s="19" customFormat="1" ht="24" customHeight="1" x14ac:dyDescent="0.2">
      <c r="A46" s="17" t="s">
        <v>1</v>
      </c>
      <c r="B46" s="209" t="s">
        <v>2</v>
      </c>
      <c r="C46" s="209"/>
      <c r="D46" s="17" t="s">
        <v>3</v>
      </c>
      <c r="E46" s="17" t="s">
        <v>4</v>
      </c>
      <c r="F46" s="17" t="s">
        <v>5</v>
      </c>
    </row>
    <row r="47" spans="1:6" s="26" customFormat="1" ht="15" customHeight="1" x14ac:dyDescent="0.25">
      <c r="A47" s="172" t="s">
        <v>30</v>
      </c>
      <c r="B47" s="219" t="s">
        <v>117</v>
      </c>
      <c r="C47" s="220"/>
      <c r="D47" s="33">
        <v>0</v>
      </c>
      <c r="E47" s="34">
        <v>720</v>
      </c>
      <c r="F47" s="35">
        <f t="shared" ref="F47:F60" si="1">SUM(D47:E47)</f>
        <v>720</v>
      </c>
    </row>
    <row r="48" spans="1:6" s="26" customFormat="1" ht="15" customHeight="1" x14ac:dyDescent="0.25">
      <c r="A48" s="195"/>
      <c r="B48" s="219" t="s">
        <v>95</v>
      </c>
      <c r="C48" s="220"/>
      <c r="D48" s="33">
        <v>91.1</v>
      </c>
      <c r="E48" s="34">
        <v>11.1</v>
      </c>
      <c r="F48" s="35">
        <f t="shared" si="1"/>
        <v>102.19999999999999</v>
      </c>
    </row>
    <row r="49" spans="1:8" s="26" customFormat="1" ht="15" customHeight="1" x14ac:dyDescent="0.25">
      <c r="A49" s="172" t="s">
        <v>8</v>
      </c>
      <c r="B49" s="219" t="s">
        <v>118</v>
      </c>
      <c r="C49" s="220"/>
      <c r="D49" s="33">
        <v>0</v>
      </c>
      <c r="E49" s="34">
        <v>815.7</v>
      </c>
      <c r="F49" s="35">
        <f t="shared" si="1"/>
        <v>815.7</v>
      </c>
    </row>
    <row r="50" spans="1:8" s="26" customFormat="1" ht="15" customHeight="1" x14ac:dyDescent="0.25">
      <c r="A50" s="173"/>
      <c r="B50" s="31" t="s">
        <v>69</v>
      </c>
      <c r="C50" s="32"/>
      <c r="D50" s="36">
        <v>873.6</v>
      </c>
      <c r="E50" s="34">
        <v>-816</v>
      </c>
      <c r="F50" s="35">
        <f t="shared" si="1"/>
        <v>57.600000000000023</v>
      </c>
    </row>
    <row r="51" spans="1:8" s="27" customFormat="1" ht="17.25" customHeight="1" x14ac:dyDescent="0.25">
      <c r="A51" s="173"/>
      <c r="B51" s="37" t="s">
        <v>103</v>
      </c>
      <c r="C51" s="38"/>
      <c r="D51" s="36">
        <v>5500</v>
      </c>
      <c r="E51" s="39">
        <v>407</v>
      </c>
      <c r="F51" s="35">
        <f>SUM(D51:E51)</f>
        <v>5907</v>
      </c>
    </row>
    <row r="52" spans="1:8" s="27" customFormat="1" ht="17.25" customHeight="1" x14ac:dyDescent="0.25">
      <c r="A52" s="172" t="s">
        <v>25</v>
      </c>
      <c r="B52" s="37" t="s">
        <v>107</v>
      </c>
      <c r="C52" s="38"/>
      <c r="D52" s="36">
        <v>161.60000000000002</v>
      </c>
      <c r="E52" s="39">
        <v>33.799999999999997</v>
      </c>
      <c r="F52" s="35">
        <f t="shared" si="1"/>
        <v>195.40000000000003</v>
      </c>
    </row>
    <row r="53" spans="1:8" s="27" customFormat="1" ht="17.25" customHeight="1" x14ac:dyDescent="0.25">
      <c r="A53" s="173"/>
      <c r="B53" s="37" t="s">
        <v>96</v>
      </c>
      <c r="C53" s="38"/>
      <c r="D53" s="39">
        <v>36.064360000000001</v>
      </c>
      <c r="E53" s="48">
        <f>0.15382+2.71139</f>
        <v>2.8652100000000003</v>
      </c>
      <c r="F53" s="35">
        <f t="shared" si="1"/>
        <v>38.929569999999998</v>
      </c>
    </row>
    <row r="54" spans="1:8" s="27" customFormat="1" ht="17.25" customHeight="1" x14ac:dyDescent="0.25">
      <c r="A54" s="173"/>
      <c r="B54" s="37" t="s">
        <v>51</v>
      </c>
      <c r="C54" s="38"/>
      <c r="D54" s="39">
        <v>7295.7725899999996</v>
      </c>
      <c r="E54" s="48">
        <f>30.76347+542.27756</f>
        <v>573.04102999999998</v>
      </c>
      <c r="F54" s="35">
        <f t="shared" si="1"/>
        <v>7868.8136199999999</v>
      </c>
    </row>
    <row r="55" spans="1:8" s="27" customFormat="1" ht="17.25" customHeight="1" x14ac:dyDescent="0.25">
      <c r="A55" s="173"/>
      <c r="B55" s="37" t="s">
        <v>102</v>
      </c>
      <c r="C55" s="38"/>
      <c r="D55" s="36">
        <v>11466</v>
      </c>
      <c r="E55" s="39">
        <v>372</v>
      </c>
      <c r="F55" s="35">
        <f t="shared" si="1"/>
        <v>11838</v>
      </c>
    </row>
    <row r="56" spans="1:8" s="27" customFormat="1" ht="17.25" customHeight="1" x14ac:dyDescent="0.25">
      <c r="A56" s="173"/>
      <c r="B56" s="37" t="s">
        <v>127</v>
      </c>
      <c r="C56" s="38"/>
      <c r="D56" s="36">
        <v>4629</v>
      </c>
      <c r="E56" s="39">
        <v>-1200</v>
      </c>
      <c r="F56" s="35">
        <f>SUM(D56:E56)</f>
        <v>3429</v>
      </c>
    </row>
    <row r="57" spans="1:8" s="27" customFormat="1" ht="17.25" customHeight="1" x14ac:dyDescent="0.25">
      <c r="A57" s="173"/>
      <c r="B57" s="37" t="s">
        <v>104</v>
      </c>
      <c r="C57" s="38"/>
      <c r="D57" s="36">
        <v>102613.5</v>
      </c>
      <c r="E57" s="39">
        <v>-7428</v>
      </c>
      <c r="F57" s="35">
        <f>SUM(D57:E57)</f>
        <v>95185.5</v>
      </c>
    </row>
    <row r="58" spans="1:8" s="27" customFormat="1" ht="17.25" customHeight="1" x14ac:dyDescent="0.25">
      <c r="A58" s="173"/>
      <c r="B58" s="37" t="s">
        <v>105</v>
      </c>
      <c r="C58" s="38"/>
      <c r="D58" s="36">
        <v>1459</v>
      </c>
      <c r="E58" s="39">
        <v>-100</v>
      </c>
      <c r="F58" s="35">
        <f>SUM(D58:E58)</f>
        <v>1359</v>
      </c>
    </row>
    <row r="59" spans="1:8" s="27" customFormat="1" ht="17.25" customHeight="1" x14ac:dyDescent="0.25">
      <c r="A59" s="173"/>
      <c r="B59" s="37" t="s">
        <v>106</v>
      </c>
      <c r="C59" s="38"/>
      <c r="D59" s="36">
        <v>52009</v>
      </c>
      <c r="E59" s="39">
        <v>300</v>
      </c>
      <c r="F59" s="35">
        <f>SUM(D59:E59)</f>
        <v>52309</v>
      </c>
    </row>
    <row r="60" spans="1:8" s="27" customFormat="1" ht="17.25" customHeight="1" x14ac:dyDescent="0.25">
      <c r="A60" s="195"/>
      <c r="B60" s="37" t="s">
        <v>114</v>
      </c>
      <c r="C60" s="38"/>
      <c r="D60" s="36">
        <v>1095</v>
      </c>
      <c r="E60" s="39">
        <v>100</v>
      </c>
      <c r="F60" s="35">
        <f t="shared" si="1"/>
        <v>1195</v>
      </c>
    </row>
    <row r="61" spans="1:8" ht="15" customHeight="1" x14ac:dyDescent="0.25">
      <c r="A61" s="7" t="s">
        <v>6</v>
      </c>
      <c r="B61" s="182"/>
      <c r="C61" s="182"/>
      <c r="D61" s="8"/>
      <c r="E61" s="9">
        <f>SUM(E47:E60)</f>
        <v>-6208.4937599999994</v>
      </c>
      <c r="F61" s="8"/>
      <c r="G61" s="5">
        <f>30.91729+779-7428-100+300-816+33.8+11.1+100+720+815.7-1200+544.98895</f>
        <v>-6208.4937599999994</v>
      </c>
      <c r="H61" s="16">
        <f>G61-E61</f>
        <v>0</v>
      </c>
    </row>
    <row r="62" spans="1:8" ht="14.25" customHeight="1" x14ac:dyDescent="0.25">
      <c r="A62" s="2"/>
      <c r="B62" s="3"/>
      <c r="C62" s="3"/>
      <c r="D62" s="4"/>
      <c r="E62" s="1"/>
      <c r="F62" s="4"/>
    </row>
    <row r="63" spans="1:8" ht="22.5" customHeight="1" x14ac:dyDescent="0.25">
      <c r="A63" s="216" t="s">
        <v>29</v>
      </c>
      <c r="B63" s="216"/>
      <c r="C63" s="216"/>
      <c r="D63" s="216"/>
      <c r="E63" s="216"/>
      <c r="F63" s="216"/>
    </row>
    <row r="64" spans="1:8" ht="106.5" customHeight="1" x14ac:dyDescent="0.25">
      <c r="A64" s="214" t="s">
        <v>240</v>
      </c>
      <c r="B64" s="214"/>
      <c r="C64" s="214"/>
      <c r="D64" s="214"/>
      <c r="E64" s="214"/>
      <c r="F64" s="214"/>
    </row>
    <row r="65" spans="1:6" ht="65.25" customHeight="1" x14ac:dyDescent="0.25">
      <c r="A65" s="208" t="s">
        <v>198</v>
      </c>
      <c r="B65" s="214"/>
      <c r="C65" s="214"/>
      <c r="D65" s="214"/>
      <c r="E65" s="214"/>
      <c r="F65" s="214"/>
    </row>
    <row r="66" spans="1:6" ht="36.75" customHeight="1" x14ac:dyDescent="0.25">
      <c r="A66" s="208" t="s">
        <v>121</v>
      </c>
      <c r="B66" s="214"/>
      <c r="C66" s="214"/>
      <c r="D66" s="214"/>
      <c r="E66" s="214"/>
      <c r="F66" s="214"/>
    </row>
    <row r="67" spans="1:6" ht="68.25" customHeight="1" x14ac:dyDescent="0.25">
      <c r="A67" s="208" t="s">
        <v>171</v>
      </c>
      <c r="B67" s="208"/>
      <c r="C67" s="208"/>
      <c r="D67" s="208"/>
      <c r="E67" s="208"/>
      <c r="F67" s="208"/>
    </row>
    <row r="68" spans="1:6" ht="87.75" customHeight="1" x14ac:dyDescent="0.25">
      <c r="A68" s="208" t="s">
        <v>227</v>
      </c>
      <c r="B68" s="208"/>
      <c r="C68" s="208"/>
      <c r="D68" s="208"/>
      <c r="E68" s="208"/>
      <c r="F68" s="208"/>
    </row>
    <row r="69" spans="1:6" ht="20.25" customHeight="1" x14ac:dyDescent="0.25">
      <c r="A69" s="213" t="s">
        <v>32</v>
      </c>
      <c r="B69" s="213"/>
      <c r="C69" s="213"/>
      <c r="D69" s="213"/>
      <c r="E69" s="213"/>
      <c r="F69" s="213"/>
    </row>
    <row r="70" spans="1:6" ht="114" customHeight="1" x14ac:dyDescent="0.25">
      <c r="A70" s="215" t="s">
        <v>201</v>
      </c>
      <c r="B70" s="215"/>
      <c r="C70" s="215"/>
      <c r="D70" s="215"/>
      <c r="E70" s="215"/>
      <c r="F70" s="215"/>
    </row>
    <row r="71" spans="1:6" ht="71.25" customHeight="1" x14ac:dyDescent="0.25">
      <c r="A71" s="215" t="s">
        <v>190</v>
      </c>
      <c r="B71" s="215"/>
      <c r="C71" s="215"/>
      <c r="D71" s="215"/>
      <c r="E71" s="215"/>
      <c r="F71" s="215"/>
    </row>
    <row r="72" spans="1:6" ht="83.25" customHeight="1" x14ac:dyDescent="0.25">
      <c r="A72" s="215" t="s">
        <v>228</v>
      </c>
      <c r="B72" s="215"/>
      <c r="C72" s="215"/>
      <c r="D72" s="215"/>
      <c r="E72" s="215"/>
      <c r="F72" s="215"/>
    </row>
    <row r="73" spans="1:6" ht="38.25" customHeight="1" x14ac:dyDescent="0.25">
      <c r="A73" s="215" t="s">
        <v>191</v>
      </c>
      <c r="B73" s="215"/>
      <c r="C73" s="215"/>
      <c r="D73" s="215"/>
      <c r="E73" s="215"/>
      <c r="F73" s="215"/>
    </row>
    <row r="74" spans="1:6" ht="82.5" customHeight="1" x14ac:dyDescent="0.25">
      <c r="A74" s="215" t="s">
        <v>202</v>
      </c>
      <c r="B74" s="215"/>
      <c r="C74" s="215"/>
      <c r="D74" s="215"/>
      <c r="E74" s="215"/>
      <c r="F74" s="215"/>
    </row>
    <row r="75" spans="1:6" ht="18.75" customHeight="1" x14ac:dyDescent="0.25">
      <c r="A75" s="213" t="s">
        <v>35</v>
      </c>
      <c r="B75" s="213"/>
      <c r="C75" s="213"/>
      <c r="D75" s="213"/>
      <c r="E75" s="213"/>
      <c r="F75" s="213"/>
    </row>
    <row r="76" spans="1:6" ht="20.25" customHeight="1" x14ac:dyDescent="0.25">
      <c r="A76" s="215" t="s">
        <v>80</v>
      </c>
      <c r="B76" s="215"/>
      <c r="C76" s="215"/>
      <c r="D76" s="215"/>
      <c r="E76" s="215"/>
      <c r="F76" s="215"/>
    </row>
    <row r="77" spans="1:6" ht="87" customHeight="1" x14ac:dyDescent="0.25">
      <c r="A77" s="215" t="s">
        <v>186</v>
      </c>
      <c r="B77" s="215"/>
      <c r="C77" s="215"/>
      <c r="D77" s="215"/>
      <c r="E77" s="215"/>
      <c r="F77" s="215"/>
    </row>
    <row r="78" spans="1:6" ht="48" customHeight="1" x14ac:dyDescent="0.25">
      <c r="A78" s="215" t="s">
        <v>203</v>
      </c>
      <c r="B78" s="215"/>
      <c r="C78" s="215"/>
      <c r="D78" s="215"/>
      <c r="E78" s="215"/>
      <c r="F78" s="215"/>
    </row>
    <row r="79" spans="1:6" ht="48.75" customHeight="1" x14ac:dyDescent="0.25">
      <c r="A79" s="215" t="s">
        <v>126</v>
      </c>
      <c r="B79" s="215"/>
      <c r="C79" s="215"/>
      <c r="D79" s="215"/>
      <c r="E79" s="215"/>
      <c r="F79" s="215"/>
    </row>
    <row r="80" spans="1:6" ht="48.75" customHeight="1" x14ac:dyDescent="0.25">
      <c r="A80" s="215" t="s">
        <v>184</v>
      </c>
      <c r="B80" s="215"/>
      <c r="C80" s="215"/>
      <c r="D80" s="215"/>
      <c r="E80" s="215"/>
      <c r="F80" s="215"/>
    </row>
    <row r="81" spans="1:6" ht="48.75" customHeight="1" x14ac:dyDescent="0.25">
      <c r="A81" s="215" t="s">
        <v>204</v>
      </c>
      <c r="B81" s="215"/>
      <c r="C81" s="215"/>
      <c r="D81" s="215"/>
      <c r="E81" s="215"/>
      <c r="F81" s="215"/>
    </row>
    <row r="82" spans="1:6" ht="21" customHeight="1" x14ac:dyDescent="0.2">
      <c r="A82" s="212" t="s">
        <v>199</v>
      </c>
      <c r="B82" s="212"/>
      <c r="C82" s="212"/>
      <c r="D82" s="212"/>
      <c r="E82" s="212"/>
      <c r="F82" s="212"/>
    </row>
    <row r="83" spans="1:6" ht="20.25" customHeight="1" x14ac:dyDescent="0.25">
      <c r="A83" s="215" t="s">
        <v>80</v>
      </c>
      <c r="B83" s="215"/>
      <c r="C83" s="215"/>
      <c r="D83" s="215"/>
      <c r="E83" s="215"/>
      <c r="F83" s="215"/>
    </row>
    <row r="84" spans="1:6" ht="68.25" customHeight="1" x14ac:dyDescent="0.25">
      <c r="A84" s="208" t="s">
        <v>200</v>
      </c>
      <c r="B84" s="208"/>
      <c r="C84" s="208"/>
      <c r="D84" s="208"/>
      <c r="E84" s="208"/>
      <c r="F84" s="208"/>
    </row>
    <row r="85" spans="1:6" ht="24.75" hidden="1" customHeight="1" x14ac:dyDescent="0.25">
      <c r="A85" s="213" t="s">
        <v>85</v>
      </c>
      <c r="B85" s="213"/>
      <c r="C85" s="213"/>
      <c r="D85" s="213"/>
      <c r="E85" s="213"/>
      <c r="F85" s="213"/>
    </row>
    <row r="86" spans="1:6" ht="18" customHeight="1" x14ac:dyDescent="0.25">
      <c r="A86" s="214" t="s">
        <v>31</v>
      </c>
      <c r="B86" s="214"/>
      <c r="C86" s="214"/>
      <c r="D86" s="214"/>
      <c r="E86" s="214"/>
      <c r="F86" s="214"/>
    </row>
    <row r="87" spans="1:6" ht="32.25" customHeight="1" x14ac:dyDescent="0.3">
      <c r="A87" s="211" t="s">
        <v>129</v>
      </c>
      <c r="B87" s="211"/>
      <c r="C87" s="211"/>
      <c r="D87" s="211"/>
      <c r="E87" s="211"/>
      <c r="F87" s="211"/>
    </row>
    <row r="88" spans="1:6" ht="18" customHeight="1" x14ac:dyDescent="0.25">
      <c r="A88" s="47" t="s">
        <v>86</v>
      </c>
      <c r="B88" s="46"/>
      <c r="C88" s="46"/>
      <c r="D88" s="46"/>
      <c r="E88" s="46"/>
      <c r="F88" s="46"/>
    </row>
    <row r="89" spans="1:6" ht="36" customHeight="1" x14ac:dyDescent="0.25">
      <c r="A89" s="208" t="s">
        <v>130</v>
      </c>
      <c r="B89" s="208"/>
      <c r="C89" s="208"/>
      <c r="D89" s="208"/>
      <c r="E89" s="208"/>
      <c r="F89" s="208"/>
    </row>
    <row r="90" spans="1:6" ht="21" customHeight="1" x14ac:dyDescent="0.25">
      <c r="A90" s="208" t="s">
        <v>224</v>
      </c>
      <c r="B90" s="208"/>
      <c r="C90" s="208"/>
      <c r="D90" s="208"/>
      <c r="E90" s="208"/>
      <c r="F90" s="208"/>
    </row>
    <row r="91" spans="1:6" ht="21" customHeight="1" x14ac:dyDescent="0.25">
      <c r="A91" s="208" t="s">
        <v>131</v>
      </c>
      <c r="B91" s="208"/>
      <c r="C91" s="208"/>
      <c r="D91" s="208"/>
      <c r="E91" s="208"/>
      <c r="F91" s="208"/>
    </row>
    <row r="92" spans="1:6" ht="21" customHeight="1" x14ac:dyDescent="0.25">
      <c r="A92" s="208" t="s">
        <v>150</v>
      </c>
      <c r="B92" s="208"/>
      <c r="C92" s="208"/>
      <c r="D92" s="208"/>
      <c r="E92" s="208"/>
      <c r="F92" s="208"/>
    </row>
    <row r="93" spans="1:6" ht="21" customHeight="1" x14ac:dyDescent="0.25">
      <c r="A93" s="208" t="s">
        <v>132</v>
      </c>
      <c r="B93" s="208"/>
      <c r="C93" s="208"/>
      <c r="D93" s="208"/>
      <c r="E93" s="208"/>
      <c r="F93" s="208"/>
    </row>
    <row r="94" spans="1:6" ht="39" customHeight="1" x14ac:dyDescent="0.25">
      <c r="A94" s="208" t="s">
        <v>133</v>
      </c>
      <c r="B94" s="208"/>
      <c r="C94" s="208"/>
      <c r="D94" s="208"/>
      <c r="E94" s="208"/>
      <c r="F94" s="208"/>
    </row>
    <row r="95" spans="1:6" ht="72.75" customHeight="1" x14ac:dyDescent="0.25">
      <c r="A95" s="208" t="s">
        <v>229</v>
      </c>
      <c r="B95" s="208"/>
      <c r="C95" s="208"/>
      <c r="D95" s="208"/>
      <c r="E95" s="208"/>
      <c r="F95" s="208"/>
    </row>
    <row r="96" spans="1:6" ht="18" customHeight="1" x14ac:dyDescent="0.25">
      <c r="A96" s="47" t="s">
        <v>109</v>
      </c>
      <c r="B96" s="46"/>
      <c r="C96" s="46"/>
      <c r="D96" s="46"/>
      <c r="E96" s="46"/>
      <c r="F96" s="46"/>
    </row>
    <row r="97" spans="1:6" ht="21" customHeight="1" x14ac:dyDescent="0.25">
      <c r="A97" s="208" t="s">
        <v>134</v>
      </c>
      <c r="B97" s="208"/>
      <c r="C97" s="208"/>
      <c r="D97" s="208"/>
      <c r="E97" s="208"/>
      <c r="F97" s="208"/>
    </row>
    <row r="98" spans="1:6" ht="21" customHeight="1" x14ac:dyDescent="0.25">
      <c r="A98" s="208" t="s">
        <v>135</v>
      </c>
      <c r="B98" s="208"/>
      <c r="C98" s="208"/>
      <c r="D98" s="208"/>
      <c r="E98" s="208"/>
      <c r="F98" s="208"/>
    </row>
    <row r="99" spans="1:6" ht="18" customHeight="1" x14ac:dyDescent="0.25">
      <c r="A99" s="47" t="s">
        <v>34</v>
      </c>
      <c r="B99" s="46"/>
      <c r="C99" s="46"/>
      <c r="D99" s="46"/>
      <c r="E99" s="46"/>
      <c r="F99" s="46"/>
    </row>
    <row r="100" spans="1:6" ht="21" customHeight="1" x14ac:dyDescent="0.25">
      <c r="A100" s="208" t="s">
        <v>136</v>
      </c>
      <c r="B100" s="208"/>
      <c r="C100" s="208"/>
      <c r="D100" s="208"/>
      <c r="E100" s="208"/>
      <c r="F100" s="208"/>
    </row>
    <row r="101" spans="1:6" ht="18" customHeight="1" x14ac:dyDescent="0.25">
      <c r="A101" s="47" t="s">
        <v>14</v>
      </c>
      <c r="B101" s="46"/>
      <c r="C101" s="46"/>
      <c r="D101" s="46"/>
      <c r="E101" s="46"/>
      <c r="F101" s="46"/>
    </row>
    <row r="102" spans="1:6" ht="21" customHeight="1" x14ac:dyDescent="0.25">
      <c r="A102" s="208" t="s">
        <v>137</v>
      </c>
      <c r="B102" s="208"/>
      <c r="C102" s="208"/>
      <c r="D102" s="208"/>
      <c r="E102" s="208"/>
      <c r="F102" s="208"/>
    </row>
    <row r="103" spans="1:6" ht="21" customHeight="1" x14ac:dyDescent="0.25">
      <c r="A103" s="208" t="s">
        <v>225</v>
      </c>
      <c r="B103" s="208"/>
      <c r="C103" s="208"/>
      <c r="D103" s="208"/>
      <c r="E103" s="208"/>
      <c r="F103" s="208"/>
    </row>
    <row r="104" spans="1:6" ht="18" customHeight="1" x14ac:dyDescent="0.25">
      <c r="A104" s="47" t="s">
        <v>8</v>
      </c>
      <c r="B104" s="46"/>
      <c r="C104" s="46"/>
      <c r="D104" s="46"/>
      <c r="E104" s="46"/>
      <c r="F104" s="46"/>
    </row>
    <row r="105" spans="1:6" ht="21" customHeight="1" x14ac:dyDescent="0.25">
      <c r="A105" s="208" t="s">
        <v>143</v>
      </c>
      <c r="B105" s="208"/>
      <c r="C105" s="208"/>
      <c r="D105" s="208"/>
      <c r="E105" s="208"/>
      <c r="F105" s="208"/>
    </row>
    <row r="106" spans="1:6" ht="18" customHeight="1" x14ac:dyDescent="0.25">
      <c r="A106" s="47" t="s">
        <v>26</v>
      </c>
      <c r="B106" s="46"/>
      <c r="C106" s="46"/>
      <c r="D106" s="46"/>
      <c r="E106" s="46"/>
      <c r="F106" s="46"/>
    </row>
    <row r="107" spans="1:6" ht="21" customHeight="1" x14ac:dyDescent="0.25">
      <c r="A107" s="208" t="s">
        <v>138</v>
      </c>
      <c r="B107" s="208"/>
      <c r="C107" s="208"/>
      <c r="D107" s="208"/>
      <c r="E107" s="208"/>
      <c r="F107" s="208"/>
    </row>
    <row r="108" spans="1:6" ht="32.25" customHeight="1" x14ac:dyDescent="0.25">
      <c r="A108" s="208" t="s">
        <v>141</v>
      </c>
      <c r="B108" s="208"/>
      <c r="C108" s="208"/>
      <c r="D108" s="208"/>
      <c r="E108" s="208"/>
      <c r="F108" s="208"/>
    </row>
    <row r="109" spans="1:6" ht="21" customHeight="1" x14ac:dyDescent="0.25">
      <c r="A109" s="208" t="s">
        <v>139</v>
      </c>
      <c r="B109" s="208"/>
      <c r="C109" s="208"/>
      <c r="D109" s="208"/>
      <c r="E109" s="208"/>
      <c r="F109" s="208"/>
    </row>
    <row r="110" spans="1:6" ht="21" customHeight="1" x14ac:dyDescent="0.25">
      <c r="A110" s="208" t="s">
        <v>140</v>
      </c>
      <c r="B110" s="208"/>
      <c r="C110" s="208"/>
      <c r="D110" s="208"/>
      <c r="E110" s="208"/>
      <c r="F110" s="208"/>
    </row>
    <row r="111" spans="1:6" ht="18" customHeight="1" x14ac:dyDescent="0.3">
      <c r="A111" s="211" t="s">
        <v>87</v>
      </c>
      <c r="B111" s="211"/>
      <c r="C111" s="211"/>
      <c r="D111" s="211"/>
      <c r="E111" s="211"/>
      <c r="F111" s="211"/>
    </row>
    <row r="112" spans="1:6" ht="51" customHeight="1" x14ac:dyDescent="0.25">
      <c r="A112" s="210" t="s">
        <v>174</v>
      </c>
      <c r="B112" s="210"/>
      <c r="C112" s="210"/>
      <c r="D112" s="210"/>
      <c r="E112" s="210"/>
      <c r="F112" s="210"/>
    </row>
    <row r="113" spans="1:14" ht="18" customHeight="1" x14ac:dyDescent="0.3">
      <c r="A113" s="211" t="s">
        <v>81</v>
      </c>
      <c r="B113" s="211"/>
      <c r="C113" s="211"/>
      <c r="D113" s="211"/>
      <c r="E113" s="211"/>
      <c r="F113" s="211"/>
    </row>
    <row r="114" spans="1:14" s="68" customFormat="1" ht="18" customHeight="1" x14ac:dyDescent="0.25">
      <c r="A114" s="210" t="s">
        <v>86</v>
      </c>
      <c r="B114" s="210"/>
      <c r="C114" s="210"/>
      <c r="D114" s="210"/>
      <c r="E114" s="210"/>
      <c r="F114" s="210"/>
    </row>
    <row r="115" spans="1:14" ht="34.5" customHeight="1" x14ac:dyDescent="0.25">
      <c r="A115" s="210" t="s">
        <v>175</v>
      </c>
      <c r="B115" s="210"/>
      <c r="C115" s="210"/>
      <c r="D115" s="210"/>
      <c r="E115" s="210"/>
      <c r="F115" s="210"/>
    </row>
    <row r="116" spans="1:14" ht="18" customHeight="1" x14ac:dyDescent="0.3">
      <c r="A116" s="211" t="s">
        <v>194</v>
      </c>
      <c r="B116" s="211"/>
      <c r="C116" s="211"/>
      <c r="D116" s="211"/>
      <c r="E116" s="211"/>
      <c r="F116" s="211"/>
    </row>
    <row r="117" spans="1:14" s="68" customFormat="1" ht="18" customHeight="1" x14ac:dyDescent="0.25">
      <c r="A117" s="210" t="s">
        <v>230</v>
      </c>
      <c r="B117" s="210"/>
      <c r="C117" s="210"/>
      <c r="D117" s="210"/>
      <c r="E117" s="210"/>
      <c r="F117" s="210"/>
    </row>
    <row r="118" spans="1:14" ht="17.25" customHeight="1" x14ac:dyDescent="0.25">
      <c r="A118" s="210" t="s">
        <v>231</v>
      </c>
      <c r="B118" s="210"/>
      <c r="C118" s="210"/>
      <c r="D118" s="210"/>
      <c r="E118" s="210"/>
      <c r="F118" s="210"/>
    </row>
    <row r="119" spans="1:14" s="11" customFormat="1" ht="14.25" customHeight="1" x14ac:dyDescent="0.2">
      <c r="A119" s="14"/>
      <c r="B119" s="14"/>
      <c r="C119" s="14"/>
      <c r="D119" s="14"/>
      <c r="E119" s="15"/>
      <c r="F119" s="20" t="s">
        <v>21</v>
      </c>
      <c r="M119" s="5"/>
      <c r="N119" s="5"/>
    </row>
    <row r="120" spans="1:14" s="49" customFormat="1" ht="28.5" customHeight="1" x14ac:dyDescent="0.2">
      <c r="A120" s="17" t="s">
        <v>1</v>
      </c>
      <c r="B120" s="209" t="s">
        <v>2</v>
      </c>
      <c r="C120" s="209"/>
      <c r="D120" s="17" t="s">
        <v>3</v>
      </c>
      <c r="E120" s="17" t="s">
        <v>4</v>
      </c>
      <c r="F120" s="17" t="s">
        <v>5</v>
      </c>
      <c r="M120" s="19"/>
      <c r="N120" s="19"/>
    </row>
    <row r="121" spans="1:14" ht="15.75" x14ac:dyDescent="0.25">
      <c r="A121" s="172" t="s">
        <v>30</v>
      </c>
      <c r="B121" s="37" t="s">
        <v>50</v>
      </c>
      <c r="C121" s="38"/>
      <c r="D121" s="36">
        <v>1217</v>
      </c>
      <c r="E121" s="39">
        <f>367.2+100</f>
        <v>467.2</v>
      </c>
      <c r="F121" s="35">
        <f t="shared" ref="F121:F194" si="2">SUM(D121:E121)</f>
        <v>1684.2</v>
      </c>
    </row>
    <row r="122" spans="1:14" ht="15.75" x14ac:dyDescent="0.25">
      <c r="A122" s="173"/>
      <c r="B122" s="37" t="s">
        <v>44</v>
      </c>
      <c r="C122" s="38"/>
      <c r="D122" s="36">
        <v>24010</v>
      </c>
      <c r="E122" s="39">
        <f>100+7079.8</f>
        <v>7179.8</v>
      </c>
      <c r="F122" s="35">
        <f>SUM(D122:E122)</f>
        <v>31189.8</v>
      </c>
    </row>
    <row r="123" spans="1:14" ht="15.75" x14ac:dyDescent="0.25">
      <c r="A123" s="173"/>
      <c r="B123" s="37" t="s">
        <v>45</v>
      </c>
      <c r="C123" s="38"/>
      <c r="D123" s="36">
        <v>13090.6</v>
      </c>
      <c r="E123" s="39">
        <f>-100-26.8-100-197.2</f>
        <v>-424</v>
      </c>
      <c r="F123" s="35">
        <f t="shared" si="2"/>
        <v>12666.6</v>
      </c>
    </row>
    <row r="124" spans="1:14" ht="15.75" x14ac:dyDescent="0.25">
      <c r="A124" s="173"/>
      <c r="B124" s="37" t="s">
        <v>61</v>
      </c>
      <c r="C124" s="38"/>
      <c r="D124" s="36">
        <v>278.7</v>
      </c>
      <c r="E124" s="39">
        <f>26.8+97.2</f>
        <v>124</v>
      </c>
      <c r="F124" s="35">
        <f t="shared" si="2"/>
        <v>402.7</v>
      </c>
    </row>
    <row r="125" spans="1:14" ht="15.75" x14ac:dyDescent="0.25">
      <c r="A125" s="173"/>
      <c r="B125" s="37" t="s">
        <v>82</v>
      </c>
      <c r="C125" s="38"/>
      <c r="D125" s="36">
        <v>2345.6</v>
      </c>
      <c r="E125" s="39">
        <f>313-84.6</f>
        <v>228.4</v>
      </c>
      <c r="F125" s="35">
        <f>SUM(D125:E125)</f>
        <v>2574</v>
      </c>
    </row>
    <row r="126" spans="1:14" ht="15.75" x14ac:dyDescent="0.25">
      <c r="A126" s="173"/>
      <c r="B126" s="37" t="s">
        <v>169</v>
      </c>
      <c r="C126" s="38"/>
      <c r="D126" s="36">
        <v>182.9</v>
      </c>
      <c r="E126" s="39">
        <v>100</v>
      </c>
      <c r="F126" s="35">
        <f>SUM(D126:E126)</f>
        <v>282.89999999999998</v>
      </c>
    </row>
    <row r="127" spans="1:14" ht="15.75" x14ac:dyDescent="0.25">
      <c r="A127" s="173"/>
      <c r="B127" s="37" t="s">
        <v>57</v>
      </c>
      <c r="C127" s="38"/>
      <c r="D127" s="36">
        <v>4447.6000000000004</v>
      </c>
      <c r="E127" s="39">
        <v>219.6</v>
      </c>
      <c r="F127" s="35">
        <f t="shared" si="2"/>
        <v>4667.2000000000007</v>
      </c>
    </row>
    <row r="128" spans="1:14" ht="15.75" x14ac:dyDescent="0.25">
      <c r="A128" s="173"/>
      <c r="B128" s="37" t="s">
        <v>83</v>
      </c>
      <c r="C128" s="38"/>
      <c r="D128" s="36">
        <v>679</v>
      </c>
      <c r="E128" s="39">
        <v>64.5</v>
      </c>
      <c r="F128" s="35">
        <f>SUM(D128:E128)</f>
        <v>743.5</v>
      </c>
    </row>
    <row r="129" spans="1:14" ht="15.75" x14ac:dyDescent="0.25">
      <c r="A129" s="173"/>
      <c r="B129" s="37" t="s">
        <v>151</v>
      </c>
      <c r="C129" s="38"/>
      <c r="D129" s="36">
        <v>5167.7</v>
      </c>
      <c r="E129" s="39">
        <v>1543.8</v>
      </c>
      <c r="F129" s="35">
        <f>SUM(D129:E129)</f>
        <v>6711.5</v>
      </c>
    </row>
    <row r="130" spans="1:14" ht="15.75" x14ac:dyDescent="0.25">
      <c r="A130" s="173"/>
      <c r="B130" s="37" t="s">
        <v>64</v>
      </c>
      <c r="C130" s="38"/>
      <c r="D130" s="36">
        <v>9430.1</v>
      </c>
      <c r="E130" s="39">
        <v>4609.7</v>
      </c>
      <c r="F130" s="35">
        <f>SUM(D130:E130)</f>
        <v>14039.8</v>
      </c>
    </row>
    <row r="131" spans="1:14" ht="15.75" x14ac:dyDescent="0.25">
      <c r="A131" s="173"/>
      <c r="B131" s="37" t="s">
        <v>92</v>
      </c>
      <c r="C131" s="38"/>
      <c r="D131" s="36">
        <v>525.1</v>
      </c>
      <c r="E131" s="39">
        <f>21.5+30</f>
        <v>51.5</v>
      </c>
      <c r="F131" s="35">
        <f t="shared" si="2"/>
        <v>576.6</v>
      </c>
    </row>
    <row r="132" spans="1:14" ht="15.75" x14ac:dyDescent="0.25">
      <c r="A132" s="173"/>
      <c r="B132" s="37" t="s">
        <v>187</v>
      </c>
      <c r="C132" s="38"/>
      <c r="D132" s="36">
        <v>154.5</v>
      </c>
      <c r="E132" s="39">
        <v>-30</v>
      </c>
      <c r="F132" s="35">
        <f t="shared" ref="F132:F137" si="3">SUM(D132:E132)</f>
        <v>124.5</v>
      </c>
    </row>
    <row r="133" spans="1:14" ht="15.75" x14ac:dyDescent="0.25">
      <c r="A133" s="173"/>
      <c r="B133" s="37" t="s">
        <v>188</v>
      </c>
      <c r="C133" s="38"/>
      <c r="D133" s="36">
        <v>52</v>
      </c>
      <c r="E133" s="39">
        <v>-52</v>
      </c>
      <c r="F133" s="35">
        <f t="shared" si="3"/>
        <v>0</v>
      </c>
    </row>
    <row r="134" spans="1:14" ht="15.75" x14ac:dyDescent="0.25">
      <c r="A134" s="173"/>
      <c r="B134" s="37" t="s">
        <v>189</v>
      </c>
      <c r="C134" s="38"/>
      <c r="D134" s="36">
        <v>0</v>
      </c>
      <c r="E134" s="39">
        <v>52</v>
      </c>
      <c r="F134" s="35">
        <f t="shared" si="3"/>
        <v>52</v>
      </c>
    </row>
    <row r="135" spans="1:14" ht="15.75" x14ac:dyDescent="0.25">
      <c r="A135" s="173"/>
      <c r="B135" s="37" t="s">
        <v>149</v>
      </c>
      <c r="C135" s="38"/>
      <c r="D135" s="36">
        <v>2888</v>
      </c>
      <c r="E135" s="39">
        <v>849</v>
      </c>
      <c r="F135" s="35">
        <f t="shared" si="3"/>
        <v>3737</v>
      </c>
    </row>
    <row r="136" spans="1:14" ht="15.75" x14ac:dyDescent="0.25">
      <c r="A136" s="173"/>
      <c r="B136" s="37" t="s">
        <v>98</v>
      </c>
      <c r="C136" s="38"/>
      <c r="D136" s="36">
        <v>21.5</v>
      </c>
      <c r="E136" s="39">
        <v>-21.5</v>
      </c>
      <c r="F136" s="35">
        <f t="shared" si="3"/>
        <v>0</v>
      </c>
    </row>
    <row r="137" spans="1:14" ht="15.75" x14ac:dyDescent="0.25">
      <c r="A137" s="173"/>
      <c r="B137" s="37" t="s">
        <v>173</v>
      </c>
      <c r="C137" s="38"/>
      <c r="D137" s="36">
        <v>1966.3</v>
      </c>
      <c r="E137" s="39">
        <v>-797.6</v>
      </c>
      <c r="F137" s="35">
        <f t="shared" si="3"/>
        <v>1168.6999999999998</v>
      </c>
    </row>
    <row r="138" spans="1:14" s="11" customFormat="1" ht="15.75" x14ac:dyDescent="0.25">
      <c r="A138" s="173"/>
      <c r="B138" s="37" t="s">
        <v>68</v>
      </c>
      <c r="C138" s="38"/>
      <c r="D138" s="36">
        <v>25694.500000000004</v>
      </c>
      <c r="E138" s="39">
        <f>-3000-45</f>
        <v>-3045</v>
      </c>
      <c r="F138" s="35">
        <f t="shared" si="2"/>
        <v>22649.500000000004</v>
      </c>
      <c r="M138" s="5"/>
      <c r="N138" s="5"/>
    </row>
    <row r="139" spans="1:14" s="11" customFormat="1" ht="15.75" x14ac:dyDescent="0.25">
      <c r="A139" s="173"/>
      <c r="B139" s="37" t="s">
        <v>56</v>
      </c>
      <c r="C139" s="38"/>
      <c r="D139" s="36">
        <v>28130.7</v>
      </c>
      <c r="E139" s="39">
        <f>3000+1500</f>
        <v>4500</v>
      </c>
      <c r="F139" s="35">
        <f t="shared" si="2"/>
        <v>32630.7</v>
      </c>
      <c r="M139" s="5"/>
      <c r="N139" s="5"/>
    </row>
    <row r="140" spans="1:14" s="11" customFormat="1" ht="15.75" x14ac:dyDescent="0.25">
      <c r="A140" s="173"/>
      <c r="B140" s="37" t="s">
        <v>172</v>
      </c>
      <c r="C140" s="38"/>
      <c r="D140" s="36">
        <v>0</v>
      </c>
      <c r="E140" s="39">
        <v>45</v>
      </c>
      <c r="F140" s="35">
        <f>SUM(D140:E140)</f>
        <v>45</v>
      </c>
      <c r="M140" s="5"/>
      <c r="N140" s="5"/>
    </row>
    <row r="141" spans="1:14" ht="15.75" x14ac:dyDescent="0.25">
      <c r="A141" s="173"/>
      <c r="B141" s="37" t="s">
        <v>58</v>
      </c>
      <c r="C141" s="38"/>
      <c r="D141" s="36">
        <v>150</v>
      </c>
      <c r="E141" s="39">
        <v>-62.5</v>
      </c>
      <c r="F141" s="35">
        <f t="shared" si="2"/>
        <v>87.5</v>
      </c>
      <c r="M141" s="11"/>
    </row>
    <row r="142" spans="1:14" ht="15.75" x14ac:dyDescent="0.25">
      <c r="A142" s="173"/>
      <c r="B142" s="37" t="s">
        <v>62</v>
      </c>
      <c r="C142" s="38"/>
      <c r="D142" s="36">
        <v>0.30000000000000004</v>
      </c>
      <c r="E142" s="39">
        <v>0.3</v>
      </c>
      <c r="F142" s="35">
        <f t="shared" si="2"/>
        <v>0.60000000000000009</v>
      </c>
      <c r="M142" s="11"/>
    </row>
    <row r="143" spans="1:14" ht="15.75" x14ac:dyDescent="0.25">
      <c r="A143" s="173"/>
      <c r="B143" s="37" t="s">
        <v>63</v>
      </c>
      <c r="C143" s="38"/>
      <c r="D143" s="36">
        <v>54.8</v>
      </c>
      <c r="E143" s="39">
        <v>62.2</v>
      </c>
      <c r="F143" s="35">
        <f>SUM(D143:E143)</f>
        <v>117</v>
      </c>
      <c r="M143" s="11"/>
    </row>
    <row r="144" spans="1:14" ht="15.75" x14ac:dyDescent="0.25">
      <c r="A144" s="205" t="s">
        <v>109</v>
      </c>
      <c r="B144" s="69" t="s">
        <v>110</v>
      </c>
      <c r="C144" s="70"/>
      <c r="D144" s="36">
        <v>1225.4000000000001</v>
      </c>
      <c r="E144" s="39">
        <f>-332.9967-84.9794+27.62326</f>
        <v>-390.35283999999996</v>
      </c>
      <c r="F144" s="35">
        <f t="shared" si="2"/>
        <v>835.04716000000008</v>
      </c>
      <c r="M144" s="11"/>
    </row>
    <row r="145" spans="1:13" ht="15.75" x14ac:dyDescent="0.25">
      <c r="A145" s="205"/>
      <c r="B145" s="69" t="s">
        <v>111</v>
      </c>
      <c r="C145" s="70"/>
      <c r="D145" s="36">
        <v>10</v>
      </c>
      <c r="E145" s="39">
        <v>-1</v>
      </c>
      <c r="F145" s="35">
        <f t="shared" si="2"/>
        <v>9</v>
      </c>
      <c r="M145" s="11"/>
    </row>
    <row r="146" spans="1:13" ht="15.75" x14ac:dyDescent="0.25">
      <c r="A146" s="205"/>
      <c r="B146" s="69" t="s">
        <v>112</v>
      </c>
      <c r="C146" s="70"/>
      <c r="D146" s="36">
        <v>0</v>
      </c>
      <c r="E146" s="39">
        <f>332.9967+84.9794+1-27.62326</f>
        <v>391.35283999999996</v>
      </c>
      <c r="F146" s="35">
        <f t="shared" si="2"/>
        <v>391.35283999999996</v>
      </c>
      <c r="M146" s="11"/>
    </row>
    <row r="147" spans="1:13" ht="15.75" x14ac:dyDescent="0.25">
      <c r="A147" s="205"/>
      <c r="B147" s="69" t="s">
        <v>147</v>
      </c>
      <c r="C147" s="70"/>
      <c r="D147" s="36">
        <v>6150.1</v>
      </c>
      <c r="E147" s="39">
        <v>1301.5</v>
      </c>
      <c r="F147" s="35">
        <f t="shared" si="2"/>
        <v>7451.6</v>
      </c>
      <c r="M147" s="11"/>
    </row>
    <row r="148" spans="1:13" ht="15.75" x14ac:dyDescent="0.25">
      <c r="A148" s="205"/>
      <c r="B148" s="69" t="s">
        <v>148</v>
      </c>
      <c r="C148" s="70"/>
      <c r="D148" s="36">
        <v>717.4</v>
      </c>
      <c r="E148" s="39">
        <v>213.7</v>
      </c>
      <c r="F148" s="35">
        <f t="shared" si="2"/>
        <v>931.09999999999991</v>
      </c>
      <c r="M148" s="11"/>
    </row>
    <row r="149" spans="1:13" ht="15.75" x14ac:dyDescent="0.25">
      <c r="A149" s="205" t="s">
        <v>34</v>
      </c>
      <c r="B149" s="69" t="s">
        <v>122</v>
      </c>
      <c r="C149" s="70"/>
      <c r="D149" s="36">
        <v>1000</v>
      </c>
      <c r="E149" s="39">
        <v>-200</v>
      </c>
      <c r="F149" s="35">
        <f t="shared" si="2"/>
        <v>800</v>
      </c>
      <c r="M149" s="11"/>
    </row>
    <row r="150" spans="1:13" ht="15.75" x14ac:dyDescent="0.25">
      <c r="A150" s="205"/>
      <c r="B150" s="206" t="s">
        <v>123</v>
      </c>
      <c r="C150" s="207"/>
      <c r="D150" s="36">
        <v>500.6</v>
      </c>
      <c r="E150" s="39">
        <v>-400</v>
      </c>
      <c r="F150" s="35">
        <f t="shared" si="2"/>
        <v>100.60000000000002</v>
      </c>
      <c r="M150" s="11"/>
    </row>
    <row r="151" spans="1:13" ht="15.75" x14ac:dyDescent="0.25">
      <c r="A151" s="205"/>
      <c r="B151" s="174" t="s">
        <v>125</v>
      </c>
      <c r="C151" s="175"/>
      <c r="D151" s="36">
        <v>100</v>
      </c>
      <c r="E151" s="39">
        <v>900</v>
      </c>
      <c r="F151" s="35">
        <f t="shared" si="2"/>
        <v>1000</v>
      </c>
      <c r="M151" s="11"/>
    </row>
    <row r="152" spans="1:13" ht="15.75" x14ac:dyDescent="0.25">
      <c r="A152" s="205"/>
      <c r="B152" s="174" t="s">
        <v>152</v>
      </c>
      <c r="C152" s="175"/>
      <c r="D152" s="36">
        <v>5203.1000000000004</v>
      </c>
      <c r="E152" s="39">
        <v>1554.3</v>
      </c>
      <c r="F152" s="35">
        <f>SUM(D152:E152)</f>
        <v>6757.4000000000005</v>
      </c>
      <c r="M152" s="11"/>
    </row>
    <row r="153" spans="1:13" ht="15.75" x14ac:dyDescent="0.25">
      <c r="A153" s="205"/>
      <c r="B153" s="174" t="s">
        <v>192</v>
      </c>
      <c r="C153" s="175"/>
      <c r="D153" s="36">
        <v>650.9</v>
      </c>
      <c r="E153" s="39">
        <v>220</v>
      </c>
      <c r="F153" s="35">
        <f>SUM(D153:E153)</f>
        <v>870.9</v>
      </c>
      <c r="M153" s="11"/>
    </row>
    <row r="154" spans="1:13" ht="15.75" x14ac:dyDescent="0.25">
      <c r="A154" s="205"/>
      <c r="B154" s="174" t="s">
        <v>124</v>
      </c>
      <c r="C154" s="175"/>
      <c r="D154" s="36">
        <v>1000</v>
      </c>
      <c r="E154" s="39">
        <f>-300-220</f>
        <v>-520</v>
      </c>
      <c r="F154" s="35">
        <f t="shared" si="2"/>
        <v>480</v>
      </c>
      <c r="M154" s="11"/>
    </row>
    <row r="155" spans="1:13" s="11" customFormat="1" ht="15.75" x14ac:dyDescent="0.25">
      <c r="A155" s="172" t="s">
        <v>8</v>
      </c>
      <c r="B155" s="37" t="s">
        <v>180</v>
      </c>
      <c r="C155" s="38"/>
      <c r="D155" s="39">
        <v>7844</v>
      </c>
      <c r="E155" s="39">
        <v>374.3</v>
      </c>
      <c r="F155" s="40">
        <f>SUM(D155:E155)</f>
        <v>8218.2999999999993</v>
      </c>
      <c r="M155" s="5"/>
    </row>
    <row r="156" spans="1:13" s="11" customFormat="1" ht="15.75" x14ac:dyDescent="0.25">
      <c r="A156" s="173"/>
      <c r="B156" s="37" t="s">
        <v>119</v>
      </c>
      <c r="C156" s="38"/>
      <c r="D156" s="39">
        <v>7847.2</v>
      </c>
      <c r="E156" s="39">
        <v>-82</v>
      </c>
      <c r="F156" s="40">
        <f t="shared" si="2"/>
        <v>7765.2</v>
      </c>
      <c r="M156" s="5"/>
    </row>
    <row r="157" spans="1:13" s="11" customFormat="1" ht="15.75" x14ac:dyDescent="0.25">
      <c r="A157" s="173"/>
      <c r="B157" s="37" t="s">
        <v>181</v>
      </c>
      <c r="C157" s="38"/>
      <c r="D157" s="39">
        <v>7765.2</v>
      </c>
      <c r="E157" s="39">
        <f>-374.3+30-5</f>
        <v>-349.3</v>
      </c>
      <c r="F157" s="40">
        <f t="shared" si="2"/>
        <v>7415.9</v>
      </c>
      <c r="M157" s="5"/>
    </row>
    <row r="158" spans="1:13" s="11" customFormat="1" ht="15.75" x14ac:dyDescent="0.25">
      <c r="A158" s="173"/>
      <c r="B158" s="37" t="s">
        <v>120</v>
      </c>
      <c r="C158" s="38"/>
      <c r="D158" s="39">
        <v>0</v>
      </c>
      <c r="E158" s="39">
        <v>82</v>
      </c>
      <c r="F158" s="40">
        <f t="shared" si="2"/>
        <v>82</v>
      </c>
      <c r="M158" s="5"/>
    </row>
    <row r="159" spans="1:13" s="11" customFormat="1" ht="15.75" x14ac:dyDescent="0.25">
      <c r="A159" s="173"/>
      <c r="B159" s="37" t="s">
        <v>43</v>
      </c>
      <c r="C159" s="38"/>
      <c r="D159" s="39">
        <v>56365.4</v>
      </c>
      <c r="E159" s="39">
        <f>-310+300+485+20</f>
        <v>495</v>
      </c>
      <c r="F159" s="40">
        <f t="shared" si="2"/>
        <v>56860.4</v>
      </c>
      <c r="M159" s="5"/>
    </row>
    <row r="160" spans="1:13" s="11" customFormat="1" ht="15.75" x14ac:dyDescent="0.25">
      <c r="A160" s="173"/>
      <c r="B160" s="37" t="s">
        <v>185</v>
      </c>
      <c r="C160" s="38"/>
      <c r="D160" s="39">
        <v>97199.6</v>
      </c>
      <c r="E160" s="39">
        <v>-230</v>
      </c>
      <c r="F160" s="40">
        <f t="shared" ref="F160:F170" si="4">SUM(D160:E160)</f>
        <v>96969.600000000006</v>
      </c>
      <c r="M160" s="5"/>
    </row>
    <row r="161" spans="1:13" s="11" customFormat="1" ht="15.75" x14ac:dyDescent="0.25">
      <c r="A161" s="173"/>
      <c r="B161" s="37" t="s">
        <v>178</v>
      </c>
      <c r="C161" s="38"/>
      <c r="D161" s="39">
        <v>10876.8</v>
      </c>
      <c r="E161" s="39">
        <f>250-15</f>
        <v>235</v>
      </c>
      <c r="F161" s="40">
        <f t="shared" si="4"/>
        <v>11111.8</v>
      </c>
      <c r="M161" s="5"/>
    </row>
    <row r="162" spans="1:13" s="11" customFormat="1" ht="15.75" x14ac:dyDescent="0.25">
      <c r="A162" s="173"/>
      <c r="B162" s="37" t="s">
        <v>39</v>
      </c>
      <c r="C162" s="38"/>
      <c r="D162" s="39">
        <v>15547.7</v>
      </c>
      <c r="E162" s="39">
        <v>-80</v>
      </c>
      <c r="F162" s="40">
        <f t="shared" si="4"/>
        <v>15467.7</v>
      </c>
      <c r="M162" s="5"/>
    </row>
    <row r="163" spans="1:13" s="11" customFormat="1" ht="15.75" x14ac:dyDescent="0.25">
      <c r="A163" s="173"/>
      <c r="B163" s="37" t="s">
        <v>183</v>
      </c>
      <c r="C163" s="38"/>
      <c r="D163" s="39">
        <v>2004</v>
      </c>
      <c r="E163" s="39">
        <v>80</v>
      </c>
      <c r="F163" s="40">
        <f t="shared" si="4"/>
        <v>2084</v>
      </c>
      <c r="M163" s="5"/>
    </row>
    <row r="164" spans="1:13" s="11" customFormat="1" ht="15.75" x14ac:dyDescent="0.25">
      <c r="A164" s="173"/>
      <c r="B164" s="37" t="s">
        <v>179</v>
      </c>
      <c r="C164" s="38"/>
      <c r="D164" s="39">
        <v>13462.5</v>
      </c>
      <c r="E164" s="39">
        <f>60-35</f>
        <v>25</v>
      </c>
      <c r="F164" s="40">
        <f t="shared" si="4"/>
        <v>13487.5</v>
      </c>
      <c r="M164" s="5"/>
    </row>
    <row r="165" spans="1:13" s="11" customFormat="1" ht="15.75" x14ac:dyDescent="0.25">
      <c r="A165" s="173"/>
      <c r="B165" s="37" t="s">
        <v>52</v>
      </c>
      <c r="C165" s="38"/>
      <c r="D165" s="39">
        <v>295.89999999999998</v>
      </c>
      <c r="E165" s="39">
        <v>45</v>
      </c>
      <c r="F165" s="35">
        <f t="shared" si="4"/>
        <v>340.9</v>
      </c>
      <c r="M165" s="5"/>
    </row>
    <row r="166" spans="1:13" ht="15.75" x14ac:dyDescent="0.25">
      <c r="A166" s="173"/>
      <c r="B166" s="174" t="s">
        <v>142</v>
      </c>
      <c r="C166" s="175"/>
      <c r="D166" s="36">
        <v>2640.2</v>
      </c>
      <c r="E166" s="39">
        <v>670.6</v>
      </c>
      <c r="F166" s="40">
        <f t="shared" si="4"/>
        <v>3310.7999999999997</v>
      </c>
    </row>
    <row r="167" spans="1:13" ht="15.75" x14ac:dyDescent="0.25">
      <c r="A167" s="173"/>
      <c r="B167" s="174" t="s">
        <v>177</v>
      </c>
      <c r="C167" s="175"/>
      <c r="D167" s="36">
        <v>4080.5</v>
      </c>
      <c r="E167" s="39">
        <v>1</v>
      </c>
      <c r="F167" s="40">
        <f t="shared" si="4"/>
        <v>4081.5</v>
      </c>
    </row>
    <row r="168" spans="1:13" ht="15.75" x14ac:dyDescent="0.25">
      <c r="A168" s="173"/>
      <c r="B168" s="174" t="s">
        <v>176</v>
      </c>
      <c r="C168" s="175"/>
      <c r="D168" s="36">
        <v>397</v>
      </c>
      <c r="E168" s="39">
        <v>-1</v>
      </c>
      <c r="F168" s="40">
        <f t="shared" si="4"/>
        <v>396</v>
      </c>
    </row>
    <row r="169" spans="1:13" ht="15.75" x14ac:dyDescent="0.25">
      <c r="A169" s="195"/>
      <c r="B169" s="174" t="s">
        <v>182</v>
      </c>
      <c r="C169" s="175"/>
      <c r="D169" s="36">
        <v>29401.1</v>
      </c>
      <c r="E169" s="39">
        <f>-300-250</f>
        <v>-550</v>
      </c>
      <c r="F169" s="40">
        <f t="shared" si="4"/>
        <v>28851.1</v>
      </c>
    </row>
    <row r="170" spans="1:13" ht="16.5" customHeight="1" x14ac:dyDescent="0.25">
      <c r="A170" s="205" t="s">
        <v>14</v>
      </c>
      <c r="B170" s="174" t="s">
        <v>54</v>
      </c>
      <c r="C170" s="175"/>
      <c r="D170" s="36">
        <v>16574.900000000001</v>
      </c>
      <c r="E170" s="39">
        <v>-16</v>
      </c>
      <c r="F170" s="35">
        <f t="shared" si="4"/>
        <v>16558.900000000001</v>
      </c>
    </row>
    <row r="171" spans="1:13" ht="15.75" x14ac:dyDescent="0.25">
      <c r="A171" s="205"/>
      <c r="B171" s="174" t="s">
        <v>40</v>
      </c>
      <c r="C171" s="175"/>
      <c r="D171" s="36">
        <v>31658.2</v>
      </c>
      <c r="E171" s="39">
        <f>758.1+15.6+84.6+1675.9</f>
        <v>2534.2000000000003</v>
      </c>
      <c r="F171" s="35">
        <f t="shared" si="2"/>
        <v>34192.400000000001</v>
      </c>
    </row>
    <row r="172" spans="1:13" ht="15.75" x14ac:dyDescent="0.25">
      <c r="A172" s="205"/>
      <c r="B172" s="174" t="s">
        <v>42</v>
      </c>
      <c r="C172" s="175"/>
      <c r="D172" s="36">
        <v>2042.0000000000002</v>
      </c>
      <c r="E172" s="39">
        <f>47.2+2.2+104.5</f>
        <v>153.9</v>
      </c>
      <c r="F172" s="35">
        <f t="shared" si="2"/>
        <v>2195.9</v>
      </c>
    </row>
    <row r="173" spans="1:13" ht="15.75" x14ac:dyDescent="0.25">
      <c r="A173" s="205"/>
      <c r="B173" s="37" t="s">
        <v>53</v>
      </c>
      <c r="C173" s="38"/>
      <c r="D173" s="36">
        <v>10560.5</v>
      </c>
      <c r="E173" s="39">
        <f>269.6-1.8+596</f>
        <v>863.8</v>
      </c>
      <c r="F173" s="35">
        <f t="shared" si="2"/>
        <v>11424.3</v>
      </c>
    </row>
    <row r="174" spans="1:13" ht="15.75" x14ac:dyDescent="0.25">
      <c r="A174" s="205"/>
      <c r="B174" s="174" t="s">
        <v>73</v>
      </c>
      <c r="C174" s="175"/>
      <c r="D174" s="36">
        <v>731.69999999999993</v>
      </c>
      <c r="E174" s="39">
        <v>213.6</v>
      </c>
      <c r="F174" s="35">
        <f t="shared" si="2"/>
        <v>945.3</v>
      </c>
    </row>
    <row r="175" spans="1:13" ht="15.75" x14ac:dyDescent="0.25">
      <c r="A175" s="205"/>
      <c r="B175" s="174" t="s">
        <v>41</v>
      </c>
      <c r="C175" s="175"/>
      <c r="D175" s="36">
        <v>1922.9</v>
      </c>
      <c r="E175" s="39">
        <f>55.6+120.7</f>
        <v>176.3</v>
      </c>
      <c r="F175" s="35">
        <f t="shared" si="2"/>
        <v>2099.2000000000003</v>
      </c>
    </row>
    <row r="176" spans="1:13" ht="15.75" hidden="1" customHeight="1" x14ac:dyDescent="0.25">
      <c r="A176" s="71"/>
      <c r="B176" s="174" t="s">
        <v>74</v>
      </c>
      <c r="C176" s="175"/>
      <c r="D176" s="36">
        <v>0</v>
      </c>
      <c r="E176" s="39"/>
      <c r="F176" s="35">
        <f t="shared" si="2"/>
        <v>0</v>
      </c>
    </row>
    <row r="177" spans="1:6" ht="15.75" x14ac:dyDescent="0.25">
      <c r="A177" s="172" t="s">
        <v>25</v>
      </c>
      <c r="B177" s="174" t="s">
        <v>116</v>
      </c>
      <c r="C177" s="175"/>
      <c r="D177" s="39">
        <v>16</v>
      </c>
      <c r="E177" s="39">
        <v>1.22</v>
      </c>
      <c r="F177" s="35">
        <f t="shared" si="2"/>
        <v>17.22</v>
      </c>
    </row>
    <row r="178" spans="1:6" ht="15.75" x14ac:dyDescent="0.25">
      <c r="A178" s="173"/>
      <c r="B178" s="174" t="s">
        <v>115</v>
      </c>
      <c r="C178" s="175"/>
      <c r="D178" s="39">
        <v>15</v>
      </c>
      <c r="E178" s="39">
        <v>-1.22</v>
      </c>
      <c r="F178" s="35">
        <f t="shared" si="2"/>
        <v>13.78</v>
      </c>
    </row>
    <row r="179" spans="1:6" ht="15.75" x14ac:dyDescent="0.25">
      <c r="A179" s="173"/>
      <c r="B179" s="174" t="s">
        <v>101</v>
      </c>
      <c r="C179" s="175"/>
      <c r="D179" s="39">
        <v>5945.1</v>
      </c>
      <c r="E179" s="39">
        <v>-34.1</v>
      </c>
      <c r="F179" s="35">
        <f t="shared" si="2"/>
        <v>5911</v>
      </c>
    </row>
    <row r="180" spans="1:6" ht="15.75" x14ac:dyDescent="0.25">
      <c r="A180" s="173"/>
      <c r="B180" s="174" t="s">
        <v>100</v>
      </c>
      <c r="C180" s="175"/>
      <c r="D180" s="39">
        <v>222</v>
      </c>
      <c r="E180" s="39">
        <v>34.1</v>
      </c>
      <c r="F180" s="35">
        <f t="shared" si="2"/>
        <v>256.10000000000002</v>
      </c>
    </row>
    <row r="181" spans="1:6" ht="15.75" x14ac:dyDescent="0.25">
      <c r="A181" s="173"/>
      <c r="B181" s="37" t="s">
        <v>59</v>
      </c>
      <c r="C181" s="38"/>
      <c r="D181" s="39">
        <v>439.4</v>
      </c>
      <c r="E181" s="39">
        <v>14.7</v>
      </c>
      <c r="F181" s="35">
        <f t="shared" si="2"/>
        <v>454.09999999999997</v>
      </c>
    </row>
    <row r="182" spans="1:6" ht="15.75" x14ac:dyDescent="0.25">
      <c r="A182" s="195"/>
      <c r="B182" s="37" t="s">
        <v>60</v>
      </c>
      <c r="C182" s="38"/>
      <c r="D182" s="39">
        <v>1055.5</v>
      </c>
      <c r="E182" s="39">
        <v>-14.7</v>
      </c>
      <c r="F182" s="35">
        <f t="shared" si="2"/>
        <v>1040.8</v>
      </c>
    </row>
    <row r="183" spans="1:6" ht="15.75" x14ac:dyDescent="0.25">
      <c r="A183" s="44" t="s">
        <v>36</v>
      </c>
      <c r="B183" s="174" t="s">
        <v>71</v>
      </c>
      <c r="C183" s="175"/>
      <c r="D183" s="36">
        <v>1316.8</v>
      </c>
      <c r="E183" s="39">
        <v>797.6</v>
      </c>
      <c r="F183" s="35">
        <f>SUM(D183:E183)</f>
        <v>2114.4</v>
      </c>
    </row>
    <row r="184" spans="1:6" ht="15.75" x14ac:dyDescent="0.25">
      <c r="A184" s="172" t="s">
        <v>26</v>
      </c>
      <c r="B184" s="174" t="s">
        <v>93</v>
      </c>
      <c r="C184" s="175"/>
      <c r="D184" s="36">
        <v>790.2</v>
      </c>
      <c r="E184" s="39">
        <v>195.8</v>
      </c>
      <c r="F184" s="40">
        <f t="shared" si="2"/>
        <v>986</v>
      </c>
    </row>
    <row r="185" spans="1:6" ht="15.75" x14ac:dyDescent="0.25">
      <c r="A185" s="173"/>
      <c r="B185" s="174" t="s">
        <v>65</v>
      </c>
      <c r="C185" s="175"/>
      <c r="D185" s="36">
        <v>87823.2</v>
      </c>
      <c r="E185" s="39">
        <v>-3000</v>
      </c>
      <c r="F185" s="40">
        <f t="shared" si="2"/>
        <v>84823.2</v>
      </c>
    </row>
    <row r="186" spans="1:6" ht="15.75" x14ac:dyDescent="0.25">
      <c r="A186" s="173"/>
      <c r="B186" s="174" t="s">
        <v>97</v>
      </c>
      <c r="C186" s="175"/>
      <c r="D186" s="36">
        <v>5736</v>
      </c>
      <c r="E186" s="39">
        <v>3000</v>
      </c>
      <c r="F186" s="40">
        <f t="shared" si="2"/>
        <v>8736</v>
      </c>
    </row>
    <row r="187" spans="1:6" ht="15.75" x14ac:dyDescent="0.25">
      <c r="A187" s="173"/>
      <c r="B187" s="37" t="s">
        <v>75</v>
      </c>
      <c r="C187" s="38"/>
      <c r="D187" s="36">
        <v>26090</v>
      </c>
      <c r="E187" s="39">
        <v>43000</v>
      </c>
      <c r="F187" s="40">
        <f t="shared" si="2"/>
        <v>69090</v>
      </c>
    </row>
    <row r="188" spans="1:6" ht="15.75" x14ac:dyDescent="0.25">
      <c r="A188" s="173"/>
      <c r="B188" s="37" t="s">
        <v>55</v>
      </c>
      <c r="C188" s="38"/>
      <c r="D188" s="36">
        <v>118474.4</v>
      </c>
      <c r="E188" s="39">
        <v>-43000</v>
      </c>
      <c r="F188" s="40">
        <f t="shared" si="2"/>
        <v>75474.399999999994</v>
      </c>
    </row>
    <row r="189" spans="1:6" ht="15.75" x14ac:dyDescent="0.25">
      <c r="A189" s="173"/>
      <c r="B189" s="37" t="s">
        <v>94</v>
      </c>
      <c r="C189" s="38"/>
      <c r="D189" s="36">
        <v>1064.3</v>
      </c>
      <c r="E189" s="39">
        <v>-1.1000000000000001</v>
      </c>
      <c r="F189" s="40">
        <f t="shared" si="2"/>
        <v>1063.2</v>
      </c>
    </row>
    <row r="190" spans="1:6" ht="15.75" x14ac:dyDescent="0.25">
      <c r="A190" s="173"/>
      <c r="B190" s="37" t="s">
        <v>99</v>
      </c>
      <c r="C190" s="38"/>
      <c r="D190" s="36">
        <v>82.3</v>
      </c>
      <c r="E190" s="39">
        <v>1.1000000000000001</v>
      </c>
      <c r="F190" s="40">
        <f t="shared" si="2"/>
        <v>83.399999999999991</v>
      </c>
    </row>
    <row r="191" spans="1:6" ht="15.75" x14ac:dyDescent="0.25">
      <c r="A191" s="173"/>
      <c r="B191" s="174" t="s">
        <v>145</v>
      </c>
      <c r="C191" s="175"/>
      <c r="D191" s="36">
        <v>3115.8</v>
      </c>
      <c r="E191" s="39">
        <v>930.4</v>
      </c>
      <c r="F191" s="40">
        <f t="shared" si="2"/>
        <v>4046.2000000000003</v>
      </c>
    </row>
    <row r="192" spans="1:6" ht="15.75" x14ac:dyDescent="0.25">
      <c r="A192" s="173"/>
      <c r="B192" s="174" t="s">
        <v>99</v>
      </c>
      <c r="C192" s="175"/>
      <c r="D192" s="36">
        <v>150.4</v>
      </c>
      <c r="E192" s="39">
        <v>83.4</v>
      </c>
      <c r="F192" s="40">
        <f t="shared" si="2"/>
        <v>233.8</v>
      </c>
    </row>
    <row r="193" spans="1:13" ht="15.75" x14ac:dyDescent="0.25">
      <c r="A193" s="173"/>
      <c r="B193" s="174" t="s">
        <v>144</v>
      </c>
      <c r="C193" s="175"/>
      <c r="D193" s="36">
        <v>4663.7</v>
      </c>
      <c r="E193" s="39">
        <v>1393.2</v>
      </c>
      <c r="F193" s="40">
        <f t="shared" si="2"/>
        <v>6056.9</v>
      </c>
    </row>
    <row r="194" spans="1:13" ht="15.75" x14ac:dyDescent="0.25">
      <c r="A194" s="173"/>
      <c r="B194" s="174" t="s">
        <v>146</v>
      </c>
      <c r="C194" s="175"/>
      <c r="D194" s="36">
        <v>9188.4</v>
      </c>
      <c r="E194" s="39">
        <v>2190.4</v>
      </c>
      <c r="F194" s="40">
        <f t="shared" si="2"/>
        <v>11378.8</v>
      </c>
    </row>
    <row r="195" spans="1:13" ht="15.75" x14ac:dyDescent="0.25">
      <c r="A195" s="7" t="s">
        <v>6</v>
      </c>
      <c r="B195" s="182"/>
      <c r="C195" s="182"/>
      <c r="D195" s="8" t="s">
        <v>20</v>
      </c>
      <c r="E195" s="9">
        <f>SUM(E121:E194)</f>
        <v>28966.100000000002</v>
      </c>
      <c r="F195" s="8"/>
      <c r="G195" s="5">
        <f>24924+45+1500+2497.1</f>
        <v>28966.1</v>
      </c>
      <c r="H195" s="59">
        <f>G195-E195</f>
        <v>0</v>
      </c>
      <c r="I195" s="5">
        <f>24924-83.4-2190.4-1589-930.4-670.6-1301.5-213.7-7447-313-849-1543.8-4609.7-219.6-64.5-1554.3-213.6-1130.5</f>
        <v>-3.4106051316484809E-12</v>
      </c>
      <c r="J195" s="16">
        <f>I195-H195</f>
        <v>-3.4106051316484809E-12</v>
      </c>
    </row>
    <row r="196" spans="1:13" ht="7.5" customHeight="1" x14ac:dyDescent="0.25">
      <c r="A196" s="2"/>
      <c r="B196" s="3"/>
      <c r="C196" s="3"/>
      <c r="D196" s="4"/>
      <c r="E196" s="1"/>
      <c r="F196" s="4"/>
    </row>
    <row r="197" spans="1:13" s="61" customFormat="1" ht="96.75" customHeight="1" x14ac:dyDescent="0.25">
      <c r="A197" s="196" t="s">
        <v>241</v>
      </c>
      <c r="B197" s="196"/>
      <c r="C197" s="196"/>
      <c r="D197" s="196"/>
      <c r="E197" s="196"/>
      <c r="F197" s="196"/>
    </row>
    <row r="198" spans="1:13" ht="16.5" customHeight="1" x14ac:dyDescent="0.25">
      <c r="A198" s="196" t="s">
        <v>232</v>
      </c>
      <c r="B198" s="196"/>
      <c r="C198" s="196"/>
      <c r="D198" s="196"/>
      <c r="E198" s="196"/>
      <c r="F198" s="196"/>
      <c r="G198" s="45"/>
      <c r="H198" s="45"/>
      <c r="I198" s="45"/>
      <c r="J198" s="45"/>
      <c r="K198" s="45"/>
      <c r="L198" s="45"/>
      <c r="M198" s="45"/>
    </row>
    <row r="199" spans="1:13" s="58" customFormat="1" ht="11.25" x14ac:dyDescent="0.2">
      <c r="A199" s="56"/>
      <c r="B199" s="56"/>
      <c r="C199" s="56"/>
      <c r="D199" s="56"/>
      <c r="E199" s="56"/>
      <c r="F199" s="57" t="s">
        <v>7</v>
      </c>
    </row>
    <row r="200" spans="1:13" ht="15.75" customHeight="1" x14ac:dyDescent="0.25">
      <c r="A200" s="203" t="s">
        <v>10</v>
      </c>
      <c r="B200" s="204"/>
      <c r="C200" s="171" t="s">
        <v>11</v>
      </c>
      <c r="D200" s="171"/>
      <c r="E200" s="171"/>
      <c r="F200" s="171"/>
    </row>
    <row r="201" spans="1:13" ht="17.25" customHeight="1" x14ac:dyDescent="0.25">
      <c r="A201" s="41" t="s">
        <v>12</v>
      </c>
      <c r="B201" s="72">
        <v>33.5</v>
      </c>
      <c r="C201" s="183" t="s">
        <v>27</v>
      </c>
      <c r="D201" s="184"/>
      <c r="E201" s="185"/>
      <c r="F201" s="200">
        <f>E61</f>
        <v>-6208.4937599999994</v>
      </c>
      <c r="M201" s="43"/>
    </row>
    <row r="202" spans="1:13" ht="15.75" customHeight="1" x14ac:dyDescent="0.2">
      <c r="A202" s="42" t="s">
        <v>13</v>
      </c>
      <c r="B202" s="72">
        <f>-7537.9+30.91729+544.98895</f>
        <v>-6961.9937599999994</v>
      </c>
      <c r="C202" s="186"/>
      <c r="D202" s="187"/>
      <c r="E202" s="188"/>
      <c r="F202" s="201"/>
    </row>
    <row r="203" spans="1:13" ht="16.5" customHeight="1" x14ac:dyDescent="0.25">
      <c r="A203" s="41" t="s">
        <v>28</v>
      </c>
      <c r="B203" s="72">
        <v>720</v>
      </c>
      <c r="C203" s="189"/>
      <c r="D203" s="190"/>
      <c r="E203" s="191"/>
      <c r="F203" s="202"/>
      <c r="G203" s="5">
        <f>-48.5-182.6+30.6-370.6-1713.1+150+1563.1+8173+48.5</f>
        <v>7650.4</v>
      </c>
      <c r="H203" s="16">
        <f>G203-E195</f>
        <v>-21315.700000000004</v>
      </c>
    </row>
    <row r="204" spans="1:13" ht="16.5" customHeight="1" x14ac:dyDescent="0.2">
      <c r="A204" s="192" t="s">
        <v>153</v>
      </c>
      <c r="B204" s="200">
        <v>24924</v>
      </c>
      <c r="C204" s="179" t="s">
        <v>154</v>
      </c>
      <c r="D204" s="180"/>
      <c r="E204" s="181"/>
      <c r="F204" s="74">
        <v>7447</v>
      </c>
      <c r="H204" s="16"/>
    </row>
    <row r="205" spans="1:13" ht="16.5" customHeight="1" x14ac:dyDescent="0.2">
      <c r="A205" s="193"/>
      <c r="B205" s="201"/>
      <c r="C205" s="179" t="s">
        <v>168</v>
      </c>
      <c r="D205" s="180"/>
      <c r="E205" s="181"/>
      <c r="F205" s="74">
        <f>313-84.6</f>
        <v>228.4</v>
      </c>
      <c r="H205" s="16"/>
    </row>
    <row r="206" spans="1:13" ht="16.5" customHeight="1" x14ac:dyDescent="0.2">
      <c r="A206" s="193"/>
      <c r="B206" s="201"/>
      <c r="C206" s="179" t="s">
        <v>155</v>
      </c>
      <c r="D206" s="180"/>
      <c r="E206" s="181"/>
      <c r="F206" s="74">
        <v>849</v>
      </c>
      <c r="H206" s="16"/>
    </row>
    <row r="207" spans="1:13" ht="16.5" customHeight="1" x14ac:dyDescent="0.2">
      <c r="A207" s="193"/>
      <c r="B207" s="201"/>
      <c r="C207" s="179" t="s">
        <v>156</v>
      </c>
      <c r="D207" s="180"/>
      <c r="E207" s="181"/>
      <c r="F207" s="74">
        <v>1543.8</v>
      </c>
      <c r="H207" s="16"/>
    </row>
    <row r="208" spans="1:13" ht="16.5" customHeight="1" x14ac:dyDescent="0.2">
      <c r="A208" s="193"/>
      <c r="B208" s="201"/>
      <c r="C208" s="179" t="s">
        <v>161</v>
      </c>
      <c r="D208" s="180"/>
      <c r="E208" s="181"/>
      <c r="F208" s="74">
        <v>1554.3</v>
      </c>
      <c r="H208" s="16"/>
    </row>
    <row r="209" spans="1:13" ht="16.5" customHeight="1" x14ac:dyDescent="0.2">
      <c r="A209" s="193"/>
      <c r="B209" s="201"/>
      <c r="C209" s="179" t="s">
        <v>157</v>
      </c>
      <c r="D209" s="180"/>
      <c r="E209" s="181"/>
      <c r="F209" s="74">
        <v>213.7</v>
      </c>
      <c r="H209" s="16"/>
    </row>
    <row r="210" spans="1:13" ht="16.5" customHeight="1" x14ac:dyDescent="0.2">
      <c r="A210" s="193"/>
      <c r="B210" s="201"/>
      <c r="C210" s="179" t="s">
        <v>158</v>
      </c>
      <c r="D210" s="180"/>
      <c r="E210" s="181"/>
      <c r="F210" s="74">
        <v>1301.5</v>
      </c>
      <c r="H210" s="16"/>
    </row>
    <row r="211" spans="1:13" ht="33" customHeight="1" x14ac:dyDescent="0.2">
      <c r="A211" s="193"/>
      <c r="B211" s="201"/>
      <c r="C211" s="179" t="s">
        <v>159</v>
      </c>
      <c r="D211" s="180"/>
      <c r="E211" s="181"/>
      <c r="F211" s="74">
        <v>213.6</v>
      </c>
      <c r="H211" s="16"/>
    </row>
    <row r="212" spans="1:13" ht="14.25" customHeight="1" x14ac:dyDescent="0.2">
      <c r="A212" s="193"/>
      <c r="B212" s="201"/>
      <c r="C212" s="179" t="s">
        <v>160</v>
      </c>
      <c r="D212" s="180"/>
      <c r="E212" s="181"/>
      <c r="F212" s="74">
        <f>1130.5+84.6</f>
        <v>1215.0999999999999</v>
      </c>
      <c r="H212" s="16"/>
    </row>
    <row r="213" spans="1:13" ht="33" customHeight="1" x14ac:dyDescent="0.2">
      <c r="A213" s="193"/>
      <c r="B213" s="201"/>
      <c r="C213" s="179" t="s">
        <v>162</v>
      </c>
      <c r="D213" s="180"/>
      <c r="E213" s="181"/>
      <c r="F213" s="74">
        <v>670.6</v>
      </c>
      <c r="H213" s="16"/>
    </row>
    <row r="214" spans="1:13" ht="16.5" customHeight="1" x14ac:dyDescent="0.2">
      <c r="A214" s="193"/>
      <c r="B214" s="201"/>
      <c r="C214" s="179" t="s">
        <v>163</v>
      </c>
      <c r="D214" s="180"/>
      <c r="E214" s="181"/>
      <c r="F214" s="74">
        <v>930.4</v>
      </c>
      <c r="H214" s="16"/>
    </row>
    <row r="215" spans="1:13" ht="16.5" customHeight="1" x14ac:dyDescent="0.2">
      <c r="A215" s="193"/>
      <c r="B215" s="201"/>
      <c r="C215" s="179" t="s">
        <v>164</v>
      </c>
      <c r="D215" s="180"/>
      <c r="E215" s="181"/>
      <c r="F215" s="74">
        <v>1589</v>
      </c>
      <c r="H215" s="16"/>
    </row>
    <row r="216" spans="1:13" ht="16.5" customHeight="1" x14ac:dyDescent="0.2">
      <c r="A216" s="193"/>
      <c r="B216" s="201"/>
      <c r="C216" s="179" t="s">
        <v>163</v>
      </c>
      <c r="D216" s="180"/>
      <c r="E216" s="181"/>
      <c r="F216" s="74">
        <v>2190.4</v>
      </c>
      <c r="H216" s="16"/>
    </row>
    <row r="217" spans="1:13" ht="16.5" customHeight="1" x14ac:dyDescent="0.2">
      <c r="A217" s="193"/>
      <c r="B217" s="201"/>
      <c r="C217" s="179" t="s">
        <v>165</v>
      </c>
      <c r="D217" s="180"/>
      <c r="E217" s="181"/>
      <c r="F217" s="74">
        <v>4609.7</v>
      </c>
      <c r="H217" s="16"/>
    </row>
    <row r="218" spans="1:13" ht="16.5" customHeight="1" x14ac:dyDescent="0.2">
      <c r="A218" s="193"/>
      <c r="B218" s="201"/>
      <c r="C218" s="197" t="s">
        <v>88</v>
      </c>
      <c r="D218" s="198"/>
      <c r="E218" s="199"/>
      <c r="F218" s="74">
        <v>64.5</v>
      </c>
      <c r="H218" s="16"/>
    </row>
    <row r="219" spans="1:13" ht="16.5" customHeight="1" x14ac:dyDescent="0.2">
      <c r="A219" s="193"/>
      <c r="B219" s="201"/>
      <c r="C219" s="179" t="s">
        <v>166</v>
      </c>
      <c r="D219" s="180"/>
      <c r="E219" s="181"/>
      <c r="F219" s="74">
        <v>219.6</v>
      </c>
      <c r="H219" s="16"/>
    </row>
    <row r="220" spans="1:13" ht="16.5" customHeight="1" x14ac:dyDescent="0.2">
      <c r="A220" s="194"/>
      <c r="B220" s="202"/>
      <c r="C220" s="179" t="s">
        <v>167</v>
      </c>
      <c r="D220" s="180"/>
      <c r="E220" s="181"/>
      <c r="F220" s="74">
        <v>83.4</v>
      </c>
      <c r="H220" s="16"/>
    </row>
    <row r="221" spans="1:13" ht="48" customHeight="1" x14ac:dyDescent="0.2">
      <c r="A221" s="60" t="s">
        <v>84</v>
      </c>
      <c r="B221" s="73">
        <v>65</v>
      </c>
      <c r="C221" s="179" t="s">
        <v>170</v>
      </c>
      <c r="D221" s="180"/>
      <c r="E221" s="181"/>
      <c r="F221" s="72">
        <v>45</v>
      </c>
    </row>
    <row r="222" spans="1:13" ht="16.5" customHeight="1" x14ac:dyDescent="0.2">
      <c r="A222" s="60" t="s">
        <v>22</v>
      </c>
      <c r="B222" s="73">
        <v>1500</v>
      </c>
      <c r="C222" s="179" t="s">
        <v>89</v>
      </c>
      <c r="D222" s="180"/>
      <c r="E222" s="181"/>
      <c r="F222" s="75">
        <v>1500</v>
      </c>
    </row>
    <row r="223" spans="1:13" ht="30.75" customHeight="1" x14ac:dyDescent="0.2">
      <c r="A223" s="76" t="s">
        <v>193</v>
      </c>
      <c r="B223" s="72">
        <v>2497.1</v>
      </c>
      <c r="C223" s="179" t="s">
        <v>160</v>
      </c>
      <c r="D223" s="180"/>
      <c r="E223" s="181"/>
      <c r="F223" s="72">
        <v>2497.1</v>
      </c>
    </row>
    <row r="224" spans="1:13" ht="15" x14ac:dyDescent="0.25">
      <c r="A224" s="18" t="s">
        <v>9</v>
      </c>
      <c r="B224" s="77">
        <f>SUM(B201:B222)</f>
        <v>20280.506240000002</v>
      </c>
      <c r="C224" s="176" t="s">
        <v>9</v>
      </c>
      <c r="D224" s="176"/>
      <c r="E224" s="176"/>
      <c r="F224" s="78">
        <f>SUM(F201:F222)</f>
        <v>20260.506239999999</v>
      </c>
      <c r="M224" s="43">
        <f>B224-F224</f>
        <v>20.000000000003638</v>
      </c>
    </row>
    <row r="225" spans="1:12" ht="0.75" customHeight="1" x14ac:dyDescent="0.25">
      <c r="A225" s="13"/>
      <c r="B225" s="21"/>
      <c r="C225" s="13"/>
      <c r="D225" s="13"/>
      <c r="E225" s="13"/>
      <c r="F225" s="24">
        <f>F224-B224</f>
        <v>-20.000000000003638</v>
      </c>
    </row>
    <row r="226" spans="1:12" ht="18" customHeight="1" x14ac:dyDescent="0.25">
      <c r="A226" s="177" t="s">
        <v>66</v>
      </c>
      <c r="B226" s="177"/>
      <c r="C226" s="177"/>
      <c r="D226" s="177"/>
      <c r="E226" s="178" t="s">
        <v>67</v>
      </c>
      <c r="F226" s="178"/>
    </row>
    <row r="227" spans="1:12" ht="1.5" customHeight="1" x14ac:dyDescent="0.25">
      <c r="A227" s="2"/>
      <c r="B227" s="3"/>
      <c r="C227" s="3"/>
      <c r="D227" s="4"/>
      <c r="E227" s="1"/>
      <c r="F227" s="4"/>
    </row>
    <row r="228" spans="1:12" ht="15.75" customHeight="1" x14ac:dyDescent="0.2">
      <c r="B228" s="16"/>
    </row>
    <row r="229" spans="1:12" ht="17.25" customHeight="1" x14ac:dyDescent="0.2"/>
    <row r="230" spans="1:12" ht="14.25" customHeight="1" x14ac:dyDescent="0.2">
      <c r="G230" s="16"/>
      <c r="H230" s="16"/>
      <c r="J230" s="16"/>
      <c r="L230" s="16"/>
    </row>
    <row r="231" spans="1:12" ht="14.25" customHeight="1" x14ac:dyDescent="0.2">
      <c r="G231" s="16"/>
      <c r="H231" s="16"/>
      <c r="J231" s="16"/>
      <c r="L231" s="16"/>
    </row>
  </sheetData>
  <mergeCells count="152">
    <mergeCell ref="A29:F29"/>
    <mergeCell ref="A34:F34"/>
    <mergeCell ref="A35:F35"/>
    <mergeCell ref="A36:F36"/>
    <mergeCell ref="A30:F30"/>
    <mergeCell ref="A31:F31"/>
    <mergeCell ref="A32:F32"/>
    <mergeCell ref="A33:F33"/>
    <mergeCell ref="A1:F1"/>
    <mergeCell ref="A2:F2"/>
    <mergeCell ref="A3:F3"/>
    <mergeCell ref="A4:F4"/>
    <mergeCell ref="A5:F5"/>
    <mergeCell ref="A6:F6"/>
    <mergeCell ref="A7:F7"/>
    <mergeCell ref="A8:F8"/>
    <mergeCell ref="A28:F28"/>
    <mergeCell ref="A9:F9"/>
    <mergeCell ref="A27:F27"/>
    <mergeCell ref="A37:F37"/>
    <mergeCell ref="A38:F38"/>
    <mergeCell ref="A39:F39"/>
    <mergeCell ref="A40:F40"/>
    <mergeCell ref="A41:F41"/>
    <mergeCell ref="A42:F42"/>
    <mergeCell ref="B48:C48"/>
    <mergeCell ref="A49:A51"/>
    <mergeCell ref="B49:C49"/>
    <mergeCell ref="A43:F43"/>
    <mergeCell ref="A44:F44"/>
    <mergeCell ref="B46:C46"/>
    <mergeCell ref="B47:C47"/>
    <mergeCell ref="A47:A48"/>
    <mergeCell ref="A52:A60"/>
    <mergeCell ref="B61:C61"/>
    <mergeCell ref="A63:F63"/>
    <mergeCell ref="A64:F64"/>
    <mergeCell ref="A65:F65"/>
    <mergeCell ref="A66:F66"/>
    <mergeCell ref="A71:F71"/>
    <mergeCell ref="A72:F72"/>
    <mergeCell ref="A75:F75"/>
    <mergeCell ref="A67:F67"/>
    <mergeCell ref="A68:F68"/>
    <mergeCell ref="A69:F69"/>
    <mergeCell ref="A70:F70"/>
    <mergeCell ref="A73:F73"/>
    <mergeCell ref="A74:F74"/>
    <mergeCell ref="A84:F84"/>
    <mergeCell ref="A82:F82"/>
    <mergeCell ref="A85:F85"/>
    <mergeCell ref="A86:F86"/>
    <mergeCell ref="A76:F76"/>
    <mergeCell ref="A77:F77"/>
    <mergeCell ref="A79:F79"/>
    <mergeCell ref="A78:F78"/>
    <mergeCell ref="A81:F81"/>
    <mergeCell ref="A80:F80"/>
    <mergeCell ref="A83:F83"/>
    <mergeCell ref="A116:F116"/>
    <mergeCell ref="A118:F118"/>
    <mergeCell ref="A114:F114"/>
    <mergeCell ref="A87:F87"/>
    <mergeCell ref="A89:F89"/>
    <mergeCell ref="A90:F90"/>
    <mergeCell ref="A91:F91"/>
    <mergeCell ref="A92:F92"/>
    <mergeCell ref="A93:F93"/>
    <mergeCell ref="A94:F94"/>
    <mergeCell ref="A95:F95"/>
    <mergeCell ref="A97:F97"/>
    <mergeCell ref="B176:C176"/>
    <mergeCell ref="B153:C153"/>
    <mergeCell ref="B166:C166"/>
    <mergeCell ref="B167:C167"/>
    <mergeCell ref="B191:C191"/>
    <mergeCell ref="B192:C192"/>
    <mergeCell ref="B177:C177"/>
    <mergeCell ref="B178:C178"/>
    <mergeCell ref="A98:F98"/>
    <mergeCell ref="A100:F100"/>
    <mergeCell ref="A102:F102"/>
    <mergeCell ref="B120:C120"/>
    <mergeCell ref="A121:A143"/>
    <mergeCell ref="A103:F103"/>
    <mergeCell ref="A105:F105"/>
    <mergeCell ref="A107:F107"/>
    <mergeCell ref="A108:F108"/>
    <mergeCell ref="A109:F109"/>
    <mergeCell ref="A110:F110"/>
    <mergeCell ref="A115:F115"/>
    <mergeCell ref="A111:F111"/>
    <mergeCell ref="A113:F113"/>
    <mergeCell ref="A117:F117"/>
    <mergeCell ref="A112:F112"/>
    <mergeCell ref="A170:A175"/>
    <mergeCell ref="A144:A148"/>
    <mergeCell ref="A149:A154"/>
    <mergeCell ref="B150:C150"/>
    <mergeCell ref="B151:C151"/>
    <mergeCell ref="B152:C152"/>
    <mergeCell ref="B154:C154"/>
    <mergeCell ref="B171:C171"/>
    <mergeCell ref="B172:C172"/>
    <mergeCell ref="B174:C174"/>
    <mergeCell ref="B175:C175"/>
    <mergeCell ref="B169:C169"/>
    <mergeCell ref="B170:C170"/>
    <mergeCell ref="B179:C179"/>
    <mergeCell ref="B180:C180"/>
    <mergeCell ref="B183:C183"/>
    <mergeCell ref="B186:C186"/>
    <mergeCell ref="C201:E203"/>
    <mergeCell ref="A204:A220"/>
    <mergeCell ref="A155:A169"/>
    <mergeCell ref="B168:C168"/>
    <mergeCell ref="A197:F197"/>
    <mergeCell ref="C216:E216"/>
    <mergeCell ref="C217:E217"/>
    <mergeCell ref="C218:E218"/>
    <mergeCell ref="B204:B220"/>
    <mergeCell ref="C204:E204"/>
    <mergeCell ref="C205:E205"/>
    <mergeCell ref="C206:E206"/>
    <mergeCell ref="C207:E207"/>
    <mergeCell ref="C208:E208"/>
    <mergeCell ref="C209:E209"/>
    <mergeCell ref="A177:A182"/>
    <mergeCell ref="B193:C193"/>
    <mergeCell ref="F201:F203"/>
    <mergeCell ref="A198:F198"/>
    <mergeCell ref="A200:B200"/>
    <mergeCell ref="C200:F200"/>
    <mergeCell ref="A184:A194"/>
    <mergeCell ref="B184:C184"/>
    <mergeCell ref="C224:E224"/>
    <mergeCell ref="A226:D226"/>
    <mergeCell ref="E226:F226"/>
    <mergeCell ref="C210:E210"/>
    <mergeCell ref="C211:E211"/>
    <mergeCell ref="C212:E212"/>
    <mergeCell ref="C213:E213"/>
    <mergeCell ref="C214:E214"/>
    <mergeCell ref="C222:E222"/>
    <mergeCell ref="C221:E221"/>
    <mergeCell ref="C223:E223"/>
    <mergeCell ref="C219:E219"/>
    <mergeCell ref="C220:E220"/>
    <mergeCell ref="C215:E215"/>
    <mergeCell ref="B194:C194"/>
    <mergeCell ref="B195:C195"/>
    <mergeCell ref="B185:C185"/>
  </mergeCells>
  <pageMargins left="0.47244094488188981" right="0" top="0.6" bottom="0.17" header="0.15748031496062992" footer="0.11811023622047245"/>
  <pageSetup paperSize="9" scale="86" fitToHeight="14" orientation="portrait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6"/>
  <sheetViews>
    <sheetView tabSelected="1" topLeftCell="A34" zoomScaleNormal="100" zoomScaleSheetLayoutView="50" workbookViewId="0">
      <selection activeCell="E120" sqref="E120"/>
    </sheetView>
  </sheetViews>
  <sheetFormatPr defaultColWidth="9.140625" defaultRowHeight="18" x14ac:dyDescent="0.25"/>
  <cols>
    <col min="1" max="1" width="44" style="79" customWidth="1"/>
    <col min="2" max="2" width="15.85546875" style="79" customWidth="1"/>
    <col min="3" max="3" width="16.42578125" style="79" customWidth="1"/>
    <col min="4" max="4" width="15.7109375" style="79" customWidth="1"/>
    <col min="5" max="5" width="20.5703125" style="79" customWidth="1"/>
    <col min="6" max="6" width="18.28515625" style="79" customWidth="1"/>
    <col min="7" max="7" width="20.42578125" style="79" customWidth="1"/>
    <col min="8" max="8" width="15.42578125" style="87" customWidth="1"/>
    <col min="9" max="9" width="15.85546875" style="79" customWidth="1"/>
    <col min="10" max="10" width="9.140625" style="79"/>
    <col min="11" max="11" width="11.7109375" style="79" customWidth="1"/>
    <col min="12" max="12" width="12.140625" style="79" customWidth="1"/>
    <col min="13" max="16384" width="9.140625" style="79"/>
  </cols>
  <sheetData>
    <row r="1" spans="1:8" ht="19.5" customHeight="1" x14ac:dyDescent="0.3">
      <c r="A1" s="264" t="s">
        <v>0</v>
      </c>
      <c r="B1" s="264"/>
      <c r="C1" s="264"/>
      <c r="D1" s="264"/>
      <c r="E1" s="264"/>
      <c r="F1" s="264"/>
    </row>
    <row r="2" spans="1:8" ht="66.75" customHeight="1" x14ac:dyDescent="0.25">
      <c r="A2" s="265" t="s">
        <v>247</v>
      </c>
      <c r="B2" s="265"/>
      <c r="C2" s="265"/>
      <c r="D2" s="265"/>
      <c r="E2" s="265"/>
      <c r="F2" s="265"/>
      <c r="H2" s="134" t="s">
        <v>246</v>
      </c>
    </row>
    <row r="3" spans="1:8" ht="17.45" customHeight="1" x14ac:dyDescent="0.25">
      <c r="A3" s="266" t="s">
        <v>263</v>
      </c>
      <c r="B3" s="266"/>
      <c r="C3" s="266"/>
      <c r="D3" s="266"/>
      <c r="E3" s="266"/>
      <c r="F3" s="266"/>
    </row>
    <row r="4" spans="1:8" ht="17.45" customHeight="1" x14ac:dyDescent="0.25">
      <c r="A4" s="166"/>
      <c r="B4" s="166"/>
      <c r="C4" s="166"/>
      <c r="D4" s="166"/>
      <c r="E4" s="166"/>
      <c r="F4" s="166"/>
    </row>
    <row r="5" spans="1:8" ht="59.25" customHeight="1" x14ac:dyDescent="0.25">
      <c r="A5" s="267" t="s">
        <v>566</v>
      </c>
      <c r="B5" s="267"/>
      <c r="C5" s="267"/>
      <c r="D5" s="267"/>
      <c r="E5" s="267"/>
      <c r="F5" s="267"/>
    </row>
    <row r="6" spans="1:8" ht="21" customHeight="1" x14ac:dyDescent="0.3">
      <c r="A6" s="268" t="s">
        <v>338</v>
      </c>
      <c r="B6" s="268"/>
      <c r="C6" s="268"/>
      <c r="D6" s="268"/>
      <c r="E6" s="166"/>
      <c r="F6" s="166"/>
      <c r="H6" s="152">
        <v>79200</v>
      </c>
    </row>
    <row r="7" spans="1:8" ht="18" customHeight="1" x14ac:dyDescent="0.3">
      <c r="A7" s="268" t="s">
        <v>540</v>
      </c>
      <c r="B7" s="268"/>
      <c r="C7" s="268"/>
      <c r="D7" s="268"/>
      <c r="E7" s="122"/>
      <c r="F7" s="123"/>
      <c r="H7" s="152">
        <v>-44106.5</v>
      </c>
    </row>
    <row r="8" spans="1:8" ht="17.25" customHeight="1" x14ac:dyDescent="0.3">
      <c r="A8" s="268" t="s">
        <v>565</v>
      </c>
      <c r="B8" s="268"/>
      <c r="C8" s="268"/>
      <c r="D8" s="122"/>
      <c r="E8" s="122"/>
      <c r="F8" s="123"/>
      <c r="H8" s="152">
        <v>-16480.099999999999</v>
      </c>
    </row>
    <row r="9" spans="1:8" ht="17.25" customHeight="1" x14ac:dyDescent="0.25">
      <c r="A9" s="269" t="s">
        <v>541</v>
      </c>
      <c r="B9" s="269"/>
      <c r="C9" s="269"/>
      <c r="D9" s="269"/>
      <c r="E9" s="269"/>
      <c r="F9" s="123"/>
      <c r="H9" s="152">
        <v>-0.1</v>
      </c>
    </row>
    <row r="10" spans="1:8" ht="19.5" customHeight="1" x14ac:dyDescent="0.25">
      <c r="A10" s="270" t="s">
        <v>257</v>
      </c>
      <c r="B10" s="270"/>
      <c r="C10" s="270"/>
      <c r="D10" s="270"/>
      <c r="E10" s="270"/>
      <c r="F10" s="270"/>
      <c r="H10" s="88"/>
    </row>
    <row r="11" spans="1:8" ht="51" customHeight="1" x14ac:dyDescent="0.25">
      <c r="A11" s="124" t="s">
        <v>15</v>
      </c>
      <c r="B11" s="258" t="s">
        <v>251</v>
      </c>
      <c r="C11" s="259"/>
      <c r="D11" s="162" t="s">
        <v>16</v>
      </c>
      <c r="E11" s="162" t="s">
        <v>17</v>
      </c>
      <c r="F11" s="125" t="s">
        <v>18</v>
      </c>
      <c r="H11" s="88"/>
    </row>
    <row r="12" spans="1:8" ht="132" x14ac:dyDescent="0.25">
      <c r="A12" s="126" t="s">
        <v>340</v>
      </c>
      <c r="B12" s="251">
        <v>375474</v>
      </c>
      <c r="C12" s="251"/>
      <c r="D12" s="153">
        <f>418758+362</f>
        <v>419120</v>
      </c>
      <c r="E12" s="153">
        <f>D12-B12</f>
        <v>43646</v>
      </c>
      <c r="F12" s="76" t="s">
        <v>583</v>
      </c>
      <c r="H12" s="88"/>
    </row>
    <row r="13" spans="1:8" ht="198" x14ac:dyDescent="0.25">
      <c r="A13" s="126" t="s">
        <v>341</v>
      </c>
      <c r="B13" s="251">
        <v>1451</v>
      </c>
      <c r="C13" s="251"/>
      <c r="D13" s="153">
        <f>1535+19</f>
        <v>1554</v>
      </c>
      <c r="E13" s="153">
        <f>D13-B13</f>
        <v>103</v>
      </c>
      <c r="F13" s="76" t="s">
        <v>583</v>
      </c>
      <c r="H13" s="88"/>
    </row>
    <row r="14" spans="1:8" ht="82.5" x14ac:dyDescent="0.25">
      <c r="A14" s="126" t="s">
        <v>342</v>
      </c>
      <c r="B14" s="251">
        <v>3347</v>
      </c>
      <c r="C14" s="251"/>
      <c r="D14" s="153">
        <v>2630</v>
      </c>
      <c r="E14" s="153">
        <f t="shared" ref="E14:E68" si="0">D14-B14</f>
        <v>-717</v>
      </c>
      <c r="F14" s="76" t="s">
        <v>583</v>
      </c>
      <c r="H14" s="88"/>
    </row>
    <row r="15" spans="1:8" ht="148.5" x14ac:dyDescent="0.25">
      <c r="A15" s="126" t="s">
        <v>343</v>
      </c>
      <c r="B15" s="251">
        <v>519</v>
      </c>
      <c r="C15" s="251"/>
      <c r="D15" s="153">
        <v>1210</v>
      </c>
      <c r="E15" s="153">
        <f t="shared" si="0"/>
        <v>691</v>
      </c>
      <c r="F15" s="76" t="s">
        <v>583</v>
      </c>
      <c r="H15" s="88"/>
    </row>
    <row r="16" spans="1:8" ht="115.5" x14ac:dyDescent="0.25">
      <c r="A16" s="126" t="s">
        <v>344</v>
      </c>
      <c r="B16" s="251">
        <v>5877</v>
      </c>
      <c r="C16" s="251"/>
      <c r="D16" s="153">
        <v>7811</v>
      </c>
      <c r="E16" s="153">
        <f t="shared" si="0"/>
        <v>1934</v>
      </c>
      <c r="F16" s="76" t="s">
        <v>583</v>
      </c>
      <c r="H16" s="88"/>
    </row>
    <row r="17" spans="1:8" ht="148.5" x14ac:dyDescent="0.25">
      <c r="A17" s="126" t="s">
        <v>345</v>
      </c>
      <c r="B17" s="251">
        <v>39</v>
      </c>
      <c r="C17" s="251"/>
      <c r="D17" s="153">
        <v>58</v>
      </c>
      <c r="E17" s="153">
        <f t="shared" si="0"/>
        <v>19</v>
      </c>
      <c r="F17" s="76" t="s">
        <v>583</v>
      </c>
      <c r="H17" s="88"/>
    </row>
    <row r="18" spans="1:8" ht="198" x14ac:dyDescent="0.25">
      <c r="A18" s="126" t="s">
        <v>346</v>
      </c>
      <c r="B18" s="251">
        <v>10786</v>
      </c>
      <c r="C18" s="251"/>
      <c r="D18" s="153">
        <v>10436</v>
      </c>
      <c r="E18" s="153">
        <f t="shared" si="0"/>
        <v>-350</v>
      </c>
      <c r="F18" s="76" t="s">
        <v>583</v>
      </c>
      <c r="H18" s="88"/>
    </row>
    <row r="19" spans="1:8" ht="198" x14ac:dyDescent="0.25">
      <c r="A19" s="126" t="s">
        <v>347</v>
      </c>
      <c r="B19" s="251">
        <v>-1035</v>
      </c>
      <c r="C19" s="251"/>
      <c r="D19" s="153">
        <v>-1144</v>
      </c>
      <c r="E19" s="153">
        <f t="shared" si="0"/>
        <v>-109</v>
      </c>
      <c r="F19" s="76" t="s">
        <v>583</v>
      </c>
      <c r="H19" s="88"/>
    </row>
    <row r="20" spans="1:8" ht="50.25" customHeight="1" x14ac:dyDescent="0.25">
      <c r="A20" s="126" t="s">
        <v>348</v>
      </c>
      <c r="B20" s="251">
        <v>16623</v>
      </c>
      <c r="C20" s="251"/>
      <c r="D20" s="153">
        <v>20497</v>
      </c>
      <c r="E20" s="153">
        <f t="shared" si="0"/>
        <v>3874</v>
      </c>
      <c r="F20" s="76" t="s">
        <v>583</v>
      </c>
      <c r="H20" s="88"/>
    </row>
    <row r="21" spans="1:8" ht="66.75" customHeight="1" x14ac:dyDescent="0.25">
      <c r="A21" s="126" t="s">
        <v>349</v>
      </c>
      <c r="B21" s="251">
        <v>4486</v>
      </c>
      <c r="C21" s="251"/>
      <c r="D21" s="153">
        <v>6614</v>
      </c>
      <c r="E21" s="153">
        <f t="shared" si="0"/>
        <v>2128</v>
      </c>
      <c r="F21" s="76" t="s">
        <v>583</v>
      </c>
      <c r="H21" s="88"/>
    </row>
    <row r="22" spans="1:8" ht="45.75" customHeight="1" x14ac:dyDescent="0.25">
      <c r="A22" s="126" t="s">
        <v>350</v>
      </c>
      <c r="B22" s="251">
        <v>33054</v>
      </c>
      <c r="C22" s="251"/>
      <c r="D22" s="153">
        <v>35525</v>
      </c>
      <c r="E22" s="153">
        <f t="shared" si="0"/>
        <v>2471</v>
      </c>
      <c r="F22" s="76" t="s">
        <v>583</v>
      </c>
      <c r="H22" s="88"/>
    </row>
    <row r="23" spans="1:8" ht="49.5" customHeight="1" x14ac:dyDescent="0.25">
      <c r="A23" s="126" t="s">
        <v>76</v>
      </c>
      <c r="B23" s="251">
        <v>760</v>
      </c>
      <c r="C23" s="251"/>
      <c r="D23" s="153">
        <v>449</v>
      </c>
      <c r="E23" s="153">
        <f t="shared" si="0"/>
        <v>-311</v>
      </c>
      <c r="F23" s="76" t="s">
        <v>583</v>
      </c>
      <c r="H23" s="88"/>
    </row>
    <row r="24" spans="1:8" ht="66" x14ac:dyDescent="0.25">
      <c r="A24" s="126" t="s">
        <v>351</v>
      </c>
      <c r="B24" s="251">
        <v>370</v>
      </c>
      <c r="C24" s="251"/>
      <c r="D24" s="153">
        <v>959</v>
      </c>
      <c r="E24" s="153">
        <f t="shared" si="0"/>
        <v>589</v>
      </c>
      <c r="F24" s="76" t="s">
        <v>583</v>
      </c>
      <c r="H24" s="88"/>
    </row>
    <row r="25" spans="1:8" ht="82.5" x14ac:dyDescent="0.25">
      <c r="A25" s="126" t="s">
        <v>548</v>
      </c>
      <c r="B25" s="251">
        <v>8994</v>
      </c>
      <c r="C25" s="251"/>
      <c r="D25" s="153">
        <v>9962</v>
      </c>
      <c r="E25" s="153">
        <f t="shared" si="0"/>
        <v>968</v>
      </c>
      <c r="F25" s="76" t="s">
        <v>583</v>
      </c>
      <c r="H25" s="88"/>
    </row>
    <row r="26" spans="1:8" ht="63" x14ac:dyDescent="0.25">
      <c r="A26" s="126" t="s">
        <v>352</v>
      </c>
      <c r="B26" s="251">
        <v>315</v>
      </c>
      <c r="C26" s="251"/>
      <c r="D26" s="153">
        <v>372</v>
      </c>
      <c r="E26" s="153">
        <f t="shared" si="0"/>
        <v>57</v>
      </c>
      <c r="F26" s="76" t="s">
        <v>583</v>
      </c>
      <c r="H26" s="88"/>
    </row>
    <row r="27" spans="1:8" ht="58.5" customHeight="1" x14ac:dyDescent="0.25">
      <c r="A27" s="126" t="s">
        <v>542</v>
      </c>
      <c r="B27" s="251">
        <v>1707</v>
      </c>
      <c r="C27" s="251"/>
      <c r="D27" s="153">
        <v>1826</v>
      </c>
      <c r="E27" s="153">
        <f t="shared" si="0"/>
        <v>119</v>
      </c>
      <c r="F27" s="76" t="s">
        <v>583</v>
      </c>
      <c r="H27" s="88"/>
    </row>
    <row r="28" spans="1:8" ht="66" x14ac:dyDescent="0.25">
      <c r="A28" s="126" t="s">
        <v>353</v>
      </c>
      <c r="B28" s="251">
        <v>28883</v>
      </c>
      <c r="C28" s="251"/>
      <c r="D28" s="153">
        <v>28716</v>
      </c>
      <c r="E28" s="153">
        <f t="shared" si="0"/>
        <v>-167</v>
      </c>
      <c r="F28" s="76" t="s">
        <v>583</v>
      </c>
      <c r="H28" s="88"/>
    </row>
    <row r="29" spans="1:8" ht="66" x14ac:dyDescent="0.25">
      <c r="A29" s="126" t="s">
        <v>543</v>
      </c>
      <c r="B29" s="251">
        <v>11476</v>
      </c>
      <c r="C29" s="251"/>
      <c r="D29" s="153">
        <v>9819</v>
      </c>
      <c r="E29" s="153">
        <f t="shared" si="0"/>
        <v>-1657</v>
      </c>
      <c r="F29" s="76" t="s">
        <v>583</v>
      </c>
      <c r="H29" s="88"/>
    </row>
    <row r="30" spans="1:8" ht="66" x14ac:dyDescent="0.25">
      <c r="A30" s="126" t="s">
        <v>354</v>
      </c>
      <c r="B30" s="251">
        <v>8393</v>
      </c>
      <c r="C30" s="251"/>
      <c r="D30" s="153">
        <v>8149</v>
      </c>
      <c r="E30" s="153">
        <f t="shared" si="0"/>
        <v>-244</v>
      </c>
      <c r="F30" s="76" t="s">
        <v>583</v>
      </c>
      <c r="H30" s="88"/>
    </row>
    <row r="31" spans="1:8" ht="115.5" x14ac:dyDescent="0.25">
      <c r="A31" s="126" t="s">
        <v>355</v>
      </c>
      <c r="B31" s="251">
        <v>0</v>
      </c>
      <c r="C31" s="251"/>
      <c r="D31" s="153">
        <v>83</v>
      </c>
      <c r="E31" s="153">
        <f t="shared" si="0"/>
        <v>83</v>
      </c>
      <c r="F31" s="76" t="s">
        <v>583</v>
      </c>
      <c r="H31" s="88"/>
    </row>
    <row r="32" spans="1:8" ht="165" x14ac:dyDescent="0.25">
      <c r="A32" s="126" t="s">
        <v>356</v>
      </c>
      <c r="B32" s="251">
        <v>4</v>
      </c>
      <c r="C32" s="251"/>
      <c r="D32" s="153">
        <v>0</v>
      </c>
      <c r="E32" s="153">
        <f t="shared" si="0"/>
        <v>-4</v>
      </c>
      <c r="F32" s="76" t="s">
        <v>583</v>
      </c>
      <c r="H32" s="88"/>
    </row>
    <row r="33" spans="1:8" ht="66" x14ac:dyDescent="0.25">
      <c r="A33" s="126" t="s">
        <v>357</v>
      </c>
      <c r="B33" s="251">
        <v>7865</v>
      </c>
      <c r="C33" s="251"/>
      <c r="D33" s="153">
        <v>6740</v>
      </c>
      <c r="E33" s="153">
        <f t="shared" si="0"/>
        <v>-1125</v>
      </c>
      <c r="F33" s="76" t="s">
        <v>583</v>
      </c>
      <c r="H33" s="88"/>
    </row>
    <row r="34" spans="1:8" ht="63" x14ac:dyDescent="0.25">
      <c r="A34" s="126" t="s">
        <v>47</v>
      </c>
      <c r="B34" s="251">
        <v>422</v>
      </c>
      <c r="C34" s="251"/>
      <c r="D34" s="153">
        <f>459+1</f>
        <v>460</v>
      </c>
      <c r="E34" s="153">
        <f t="shared" si="0"/>
        <v>38</v>
      </c>
      <c r="F34" s="76" t="s">
        <v>583</v>
      </c>
      <c r="H34" s="88"/>
    </row>
    <row r="35" spans="1:8" ht="165" x14ac:dyDescent="0.25">
      <c r="A35" s="126" t="s">
        <v>358</v>
      </c>
      <c r="B35" s="251">
        <v>554</v>
      </c>
      <c r="C35" s="251"/>
      <c r="D35" s="153">
        <v>1231</v>
      </c>
      <c r="E35" s="153">
        <f t="shared" si="0"/>
        <v>677</v>
      </c>
      <c r="F35" s="76" t="s">
        <v>583</v>
      </c>
      <c r="H35" s="88"/>
    </row>
    <row r="36" spans="1:8" ht="57" customHeight="1" x14ac:dyDescent="0.25">
      <c r="A36" s="126" t="s">
        <v>359</v>
      </c>
      <c r="B36" s="251">
        <v>35</v>
      </c>
      <c r="C36" s="251"/>
      <c r="D36" s="153">
        <v>85</v>
      </c>
      <c r="E36" s="153">
        <f t="shared" si="0"/>
        <v>50</v>
      </c>
      <c r="F36" s="76" t="s">
        <v>583</v>
      </c>
      <c r="H36" s="88"/>
    </row>
    <row r="37" spans="1:8" ht="148.5" x14ac:dyDescent="0.25">
      <c r="A37" s="126" t="s">
        <v>360</v>
      </c>
      <c r="B37" s="251">
        <v>237</v>
      </c>
      <c r="C37" s="251"/>
      <c r="D37" s="153">
        <v>53</v>
      </c>
      <c r="E37" s="153">
        <f t="shared" si="0"/>
        <v>-184</v>
      </c>
      <c r="F37" s="76" t="s">
        <v>583</v>
      </c>
      <c r="H37" s="88"/>
    </row>
    <row r="38" spans="1:8" ht="66" x14ac:dyDescent="0.25">
      <c r="A38" s="126" t="s">
        <v>361</v>
      </c>
      <c r="B38" s="251">
        <v>45</v>
      </c>
      <c r="C38" s="251"/>
      <c r="D38" s="153">
        <v>71</v>
      </c>
      <c r="E38" s="153">
        <f t="shared" si="0"/>
        <v>26</v>
      </c>
      <c r="F38" s="76" t="s">
        <v>583</v>
      </c>
      <c r="H38" s="88"/>
    </row>
    <row r="39" spans="1:8" ht="115.5" x14ac:dyDescent="0.25">
      <c r="A39" s="126" t="s">
        <v>362</v>
      </c>
      <c r="B39" s="251">
        <v>20390</v>
      </c>
      <c r="C39" s="251"/>
      <c r="D39" s="153">
        <f>26741+210</f>
        <v>26951</v>
      </c>
      <c r="E39" s="153">
        <f t="shared" si="0"/>
        <v>6561</v>
      </c>
      <c r="F39" s="76" t="s">
        <v>583</v>
      </c>
      <c r="H39" s="88"/>
    </row>
    <row r="40" spans="1:8" ht="135" customHeight="1" x14ac:dyDescent="0.25">
      <c r="A40" s="126" t="s">
        <v>544</v>
      </c>
      <c r="B40" s="251">
        <v>450</v>
      </c>
      <c r="C40" s="251"/>
      <c r="D40" s="153">
        <v>446</v>
      </c>
      <c r="E40" s="153">
        <f t="shared" si="0"/>
        <v>-4</v>
      </c>
      <c r="F40" s="76" t="s">
        <v>583</v>
      </c>
      <c r="H40" s="88"/>
    </row>
    <row r="41" spans="1:8" ht="66" x14ac:dyDescent="0.25">
      <c r="A41" s="126" t="s">
        <v>363</v>
      </c>
      <c r="B41" s="251">
        <v>24126</v>
      </c>
      <c r="C41" s="251"/>
      <c r="D41" s="153">
        <f>17572+219</f>
        <v>17791</v>
      </c>
      <c r="E41" s="153">
        <f t="shared" si="0"/>
        <v>-6335</v>
      </c>
      <c r="F41" s="76" t="s">
        <v>583</v>
      </c>
      <c r="H41" s="88"/>
    </row>
    <row r="42" spans="1:8" ht="80.25" customHeight="1" x14ac:dyDescent="0.25">
      <c r="A42" s="126" t="s">
        <v>209</v>
      </c>
      <c r="B42" s="251">
        <v>124</v>
      </c>
      <c r="C42" s="251"/>
      <c r="D42" s="153">
        <v>42</v>
      </c>
      <c r="E42" s="153">
        <f t="shared" si="0"/>
        <v>-82</v>
      </c>
      <c r="F42" s="76" t="s">
        <v>583</v>
      </c>
      <c r="H42" s="88"/>
    </row>
    <row r="43" spans="1:8" ht="133.5" customHeight="1" x14ac:dyDescent="0.25">
      <c r="A43" s="126" t="s">
        <v>364</v>
      </c>
      <c r="B43" s="251">
        <v>3559</v>
      </c>
      <c r="C43" s="251"/>
      <c r="D43" s="153">
        <v>2947</v>
      </c>
      <c r="E43" s="153">
        <f t="shared" si="0"/>
        <v>-612</v>
      </c>
      <c r="F43" s="76" t="s">
        <v>583</v>
      </c>
      <c r="H43" s="88"/>
    </row>
    <row r="44" spans="1:8" ht="51.75" customHeight="1" x14ac:dyDescent="0.25">
      <c r="A44" s="126" t="s">
        <v>19</v>
      </c>
      <c r="B44" s="251">
        <v>1163</v>
      </c>
      <c r="C44" s="251"/>
      <c r="D44" s="153">
        <v>1318</v>
      </c>
      <c r="E44" s="153">
        <f t="shared" si="0"/>
        <v>155</v>
      </c>
      <c r="F44" s="76" t="s">
        <v>583</v>
      </c>
      <c r="H44" s="88"/>
    </row>
    <row r="45" spans="1:8" ht="46.5" customHeight="1" x14ac:dyDescent="0.25">
      <c r="A45" s="126" t="s">
        <v>545</v>
      </c>
      <c r="B45" s="251">
        <v>161</v>
      </c>
      <c r="C45" s="251"/>
      <c r="D45" s="153">
        <v>9</v>
      </c>
      <c r="E45" s="153">
        <f t="shared" si="0"/>
        <v>-152</v>
      </c>
      <c r="F45" s="76" t="s">
        <v>583</v>
      </c>
      <c r="H45" s="88"/>
    </row>
    <row r="46" spans="1:8" ht="43.5" customHeight="1" x14ac:dyDescent="0.25">
      <c r="A46" s="126" t="s">
        <v>23</v>
      </c>
      <c r="B46" s="251">
        <v>2214</v>
      </c>
      <c r="C46" s="251"/>
      <c r="D46" s="153">
        <v>2100</v>
      </c>
      <c r="E46" s="153">
        <f t="shared" si="0"/>
        <v>-114</v>
      </c>
      <c r="F46" s="76" t="s">
        <v>583</v>
      </c>
      <c r="H46" s="88"/>
    </row>
    <row r="47" spans="1:8" ht="48.75" customHeight="1" x14ac:dyDescent="0.25">
      <c r="A47" s="126" t="s">
        <v>365</v>
      </c>
      <c r="B47" s="251">
        <v>366.6</v>
      </c>
      <c r="C47" s="251"/>
      <c r="D47" s="153">
        <v>692.5</v>
      </c>
      <c r="E47" s="153">
        <f t="shared" si="0"/>
        <v>325.89999999999998</v>
      </c>
      <c r="F47" s="76" t="s">
        <v>583</v>
      </c>
      <c r="H47" s="88"/>
    </row>
    <row r="48" spans="1:8" ht="50.25" customHeight="1" x14ac:dyDescent="0.25">
      <c r="A48" s="126" t="s">
        <v>546</v>
      </c>
      <c r="B48" s="251">
        <v>1635</v>
      </c>
      <c r="C48" s="251"/>
      <c r="D48" s="153">
        <v>1259</v>
      </c>
      <c r="E48" s="153">
        <f t="shared" si="0"/>
        <v>-376</v>
      </c>
      <c r="F48" s="76" t="s">
        <v>583</v>
      </c>
      <c r="H48" s="88"/>
    </row>
    <row r="49" spans="1:8" ht="45.75" customHeight="1" x14ac:dyDescent="0.25">
      <c r="A49" s="126" t="s">
        <v>366</v>
      </c>
      <c r="B49" s="251">
        <v>5810</v>
      </c>
      <c r="C49" s="251"/>
      <c r="D49" s="153">
        <v>7469.2</v>
      </c>
      <c r="E49" s="153">
        <f t="shared" si="0"/>
        <v>1659.1999999999998</v>
      </c>
      <c r="F49" s="76" t="s">
        <v>583</v>
      </c>
      <c r="H49" s="88"/>
    </row>
    <row r="50" spans="1:8" ht="48" customHeight="1" x14ac:dyDescent="0.25">
      <c r="A50" s="126" t="s">
        <v>367</v>
      </c>
      <c r="B50" s="251">
        <v>430</v>
      </c>
      <c r="C50" s="251"/>
      <c r="D50" s="153">
        <v>497</v>
      </c>
      <c r="E50" s="153">
        <f t="shared" si="0"/>
        <v>67</v>
      </c>
      <c r="F50" s="76" t="s">
        <v>583</v>
      </c>
      <c r="H50" s="88"/>
    </row>
    <row r="51" spans="1:8" ht="148.5" x14ac:dyDescent="0.25">
      <c r="A51" s="126" t="s">
        <v>368</v>
      </c>
      <c r="B51" s="251">
        <v>3000</v>
      </c>
      <c r="C51" s="251"/>
      <c r="D51" s="153">
        <v>1602</v>
      </c>
      <c r="E51" s="153">
        <f t="shared" si="0"/>
        <v>-1398</v>
      </c>
      <c r="F51" s="76" t="s">
        <v>583</v>
      </c>
      <c r="H51" s="88"/>
    </row>
    <row r="52" spans="1:8" ht="148.5" x14ac:dyDescent="0.25">
      <c r="A52" s="126" t="s">
        <v>547</v>
      </c>
      <c r="B52" s="251"/>
      <c r="C52" s="251"/>
      <c r="D52" s="153">
        <v>100</v>
      </c>
      <c r="E52" s="153">
        <f t="shared" si="0"/>
        <v>100</v>
      </c>
      <c r="F52" s="76" t="s">
        <v>583</v>
      </c>
      <c r="H52" s="88"/>
    </row>
    <row r="53" spans="1:8" ht="82.5" x14ac:dyDescent="0.25">
      <c r="A53" s="126" t="s">
        <v>78</v>
      </c>
      <c r="B53" s="251">
        <v>4070</v>
      </c>
      <c r="C53" s="251"/>
      <c r="D53" s="153">
        <v>-18695</v>
      </c>
      <c r="E53" s="153">
        <f t="shared" si="0"/>
        <v>-22765</v>
      </c>
      <c r="F53" s="76" t="s">
        <v>583</v>
      </c>
      <c r="H53" s="88"/>
    </row>
    <row r="54" spans="1:8" ht="181.5" x14ac:dyDescent="0.25">
      <c r="A54" s="126" t="s">
        <v>369</v>
      </c>
      <c r="B54" s="251">
        <v>189</v>
      </c>
      <c r="C54" s="251"/>
      <c r="D54" s="153">
        <f>245+8</f>
        <v>253</v>
      </c>
      <c r="E54" s="153">
        <f t="shared" si="0"/>
        <v>64</v>
      </c>
      <c r="F54" s="76" t="s">
        <v>583</v>
      </c>
      <c r="H54" s="88"/>
    </row>
    <row r="55" spans="1:8" ht="82.5" x14ac:dyDescent="0.25">
      <c r="A55" s="126" t="s">
        <v>370</v>
      </c>
      <c r="B55" s="251">
        <v>15</v>
      </c>
      <c r="C55" s="251"/>
      <c r="D55" s="153">
        <v>20</v>
      </c>
      <c r="E55" s="153">
        <f t="shared" si="0"/>
        <v>5</v>
      </c>
      <c r="F55" s="76" t="s">
        <v>583</v>
      </c>
      <c r="H55" s="88"/>
    </row>
    <row r="56" spans="1:8" ht="99" x14ac:dyDescent="0.25">
      <c r="A56" s="126" t="s">
        <v>49</v>
      </c>
      <c r="B56" s="251">
        <v>236</v>
      </c>
      <c r="C56" s="251"/>
      <c r="D56" s="153">
        <v>302</v>
      </c>
      <c r="E56" s="153">
        <f t="shared" si="0"/>
        <v>66</v>
      </c>
      <c r="F56" s="76" t="s">
        <v>583</v>
      </c>
      <c r="H56" s="88"/>
    </row>
    <row r="57" spans="1:8" ht="82.5" x14ac:dyDescent="0.25">
      <c r="A57" s="126" t="s">
        <v>219</v>
      </c>
      <c r="B57" s="251">
        <v>30</v>
      </c>
      <c r="C57" s="251"/>
      <c r="D57" s="153">
        <v>32</v>
      </c>
      <c r="E57" s="153">
        <f t="shared" si="0"/>
        <v>2</v>
      </c>
      <c r="F57" s="76" t="s">
        <v>583</v>
      </c>
      <c r="H57" s="88"/>
    </row>
    <row r="58" spans="1:8" ht="99" x14ac:dyDescent="0.25">
      <c r="A58" s="126" t="s">
        <v>371</v>
      </c>
      <c r="B58" s="251">
        <v>130</v>
      </c>
      <c r="C58" s="251"/>
      <c r="D58" s="153">
        <v>107</v>
      </c>
      <c r="E58" s="153">
        <f t="shared" si="0"/>
        <v>-23</v>
      </c>
      <c r="F58" s="76" t="s">
        <v>583</v>
      </c>
      <c r="H58" s="88"/>
    </row>
    <row r="59" spans="1:8" ht="115.5" x14ac:dyDescent="0.25">
      <c r="A59" s="126" t="s">
        <v>372</v>
      </c>
      <c r="B59" s="251">
        <v>105</v>
      </c>
      <c r="C59" s="251"/>
      <c r="D59" s="153">
        <v>269</v>
      </c>
      <c r="E59" s="153">
        <f t="shared" si="0"/>
        <v>164</v>
      </c>
      <c r="F59" s="76" t="s">
        <v>583</v>
      </c>
      <c r="H59" s="88"/>
    </row>
    <row r="60" spans="1:8" ht="57" customHeight="1" x14ac:dyDescent="0.25">
      <c r="A60" s="126" t="s">
        <v>373</v>
      </c>
      <c r="B60" s="251">
        <v>279</v>
      </c>
      <c r="C60" s="251"/>
      <c r="D60" s="153">
        <v>138</v>
      </c>
      <c r="E60" s="153">
        <f t="shared" si="0"/>
        <v>-141</v>
      </c>
      <c r="F60" s="76" t="s">
        <v>583</v>
      </c>
      <c r="H60" s="88"/>
    </row>
    <row r="61" spans="1:8" ht="46.5" customHeight="1" x14ac:dyDescent="0.25">
      <c r="A61" s="126" t="s">
        <v>374</v>
      </c>
      <c r="B61" s="251">
        <v>113</v>
      </c>
      <c r="C61" s="251"/>
      <c r="D61" s="153">
        <v>17</v>
      </c>
      <c r="E61" s="153">
        <f t="shared" si="0"/>
        <v>-96</v>
      </c>
      <c r="F61" s="76" t="s">
        <v>583</v>
      </c>
      <c r="H61" s="88"/>
    </row>
    <row r="62" spans="1:8" ht="52.5" customHeight="1" x14ac:dyDescent="0.25">
      <c r="A62" s="126" t="s">
        <v>375</v>
      </c>
      <c r="B62" s="251">
        <v>0</v>
      </c>
      <c r="C62" s="251"/>
      <c r="D62" s="153">
        <v>30</v>
      </c>
      <c r="E62" s="153">
        <f t="shared" si="0"/>
        <v>30</v>
      </c>
      <c r="F62" s="76" t="s">
        <v>583</v>
      </c>
      <c r="H62" s="88"/>
    </row>
    <row r="63" spans="1:8" ht="97.5" customHeight="1" x14ac:dyDescent="0.25">
      <c r="A63" s="126" t="s">
        <v>376</v>
      </c>
      <c r="B63" s="251">
        <v>1291</v>
      </c>
      <c r="C63" s="251"/>
      <c r="D63" s="153">
        <v>1409</v>
      </c>
      <c r="E63" s="153">
        <f t="shared" si="0"/>
        <v>118</v>
      </c>
      <c r="F63" s="76" t="s">
        <v>583</v>
      </c>
      <c r="H63" s="88"/>
    </row>
    <row r="64" spans="1:8" ht="51" customHeight="1" x14ac:dyDescent="0.25">
      <c r="A64" s="126" t="s">
        <v>377</v>
      </c>
      <c r="B64" s="251">
        <v>43</v>
      </c>
      <c r="C64" s="251"/>
      <c r="D64" s="153">
        <v>17</v>
      </c>
      <c r="E64" s="153">
        <f t="shared" si="0"/>
        <v>-26</v>
      </c>
      <c r="F64" s="76" t="s">
        <v>583</v>
      </c>
      <c r="H64" s="88"/>
    </row>
    <row r="65" spans="1:8" ht="115.5" x14ac:dyDescent="0.25">
      <c r="A65" s="126" t="s">
        <v>378</v>
      </c>
      <c r="B65" s="251">
        <v>1930</v>
      </c>
      <c r="C65" s="251"/>
      <c r="D65" s="153">
        <v>847</v>
      </c>
      <c r="E65" s="153">
        <f t="shared" si="0"/>
        <v>-1083</v>
      </c>
      <c r="F65" s="76" t="s">
        <v>583</v>
      </c>
      <c r="H65" s="88"/>
    </row>
    <row r="66" spans="1:8" ht="115.5" x14ac:dyDescent="0.25">
      <c r="A66" s="126" t="s">
        <v>24</v>
      </c>
      <c r="B66" s="251">
        <v>201</v>
      </c>
      <c r="C66" s="251"/>
      <c r="D66" s="153">
        <v>322</v>
      </c>
      <c r="E66" s="153">
        <f t="shared" si="0"/>
        <v>121</v>
      </c>
      <c r="F66" s="76" t="s">
        <v>583</v>
      </c>
      <c r="H66" s="88"/>
    </row>
    <row r="67" spans="1:8" ht="99" x14ac:dyDescent="0.25">
      <c r="A67" s="126" t="s">
        <v>379</v>
      </c>
      <c r="B67" s="251">
        <v>60</v>
      </c>
      <c r="C67" s="251"/>
      <c r="D67" s="153">
        <f>53+4</f>
        <v>57</v>
      </c>
      <c r="E67" s="153">
        <f t="shared" si="0"/>
        <v>-3</v>
      </c>
      <c r="F67" s="76" t="s">
        <v>583</v>
      </c>
      <c r="H67" s="88"/>
    </row>
    <row r="68" spans="1:8" ht="66" x14ac:dyDescent="0.25">
      <c r="A68" s="126" t="s">
        <v>33</v>
      </c>
      <c r="B68" s="251">
        <v>2458</v>
      </c>
      <c r="C68" s="251"/>
      <c r="D68" s="153">
        <v>3193</v>
      </c>
      <c r="E68" s="153">
        <f t="shared" si="0"/>
        <v>735</v>
      </c>
      <c r="F68" s="76" t="s">
        <v>583</v>
      </c>
      <c r="H68" s="88"/>
    </row>
    <row r="69" spans="1:8" ht="19.5" customHeight="1" x14ac:dyDescent="0.25">
      <c r="A69" s="169" t="s">
        <v>250</v>
      </c>
      <c r="B69" s="251"/>
      <c r="C69" s="251"/>
      <c r="D69" s="169"/>
      <c r="E69" s="154">
        <f>SUM(E12:E68)</f>
        <v>29568.1</v>
      </c>
      <c r="F69" s="169"/>
      <c r="H69" s="88">
        <f>28745.1+823</f>
        <v>29568.1</v>
      </c>
    </row>
    <row r="70" spans="1:8" ht="19.5" customHeight="1" x14ac:dyDescent="0.25">
      <c r="A70" s="135"/>
      <c r="B70" s="135"/>
      <c r="C70" s="135"/>
      <c r="D70" s="135"/>
      <c r="E70" s="135"/>
      <c r="F70" s="135"/>
      <c r="H70" s="88"/>
    </row>
    <row r="71" spans="1:8" ht="19.5" customHeight="1" x14ac:dyDescent="0.25">
      <c r="A71" s="135"/>
      <c r="B71" s="135"/>
      <c r="C71" s="135"/>
      <c r="D71" s="135"/>
      <c r="E71" s="135"/>
      <c r="F71" s="135"/>
      <c r="H71" s="88"/>
    </row>
    <row r="72" spans="1:8" ht="28.5" customHeight="1" x14ac:dyDescent="0.25">
      <c r="A72" s="271" t="s">
        <v>403</v>
      </c>
      <c r="B72" s="271"/>
      <c r="C72" s="271"/>
      <c r="D72" s="271"/>
      <c r="E72" s="271"/>
      <c r="F72" s="271"/>
      <c r="H72" s="88">
        <v>5161.3999999999996</v>
      </c>
    </row>
    <row r="73" spans="1:8" ht="19.5" customHeight="1" x14ac:dyDescent="0.3">
      <c r="A73" s="272" t="s">
        <v>549</v>
      </c>
      <c r="B73" s="272"/>
      <c r="C73" s="272"/>
      <c r="D73" s="272"/>
      <c r="E73" s="272"/>
      <c r="F73" s="272"/>
      <c r="H73" s="88">
        <f>H69+H72</f>
        <v>34729.5</v>
      </c>
    </row>
    <row r="74" spans="1:8" ht="18.75" hidden="1" customHeight="1" x14ac:dyDescent="0.25">
      <c r="A74" s="270" t="s">
        <v>257</v>
      </c>
      <c r="B74" s="270"/>
      <c r="C74" s="270"/>
      <c r="D74" s="270"/>
      <c r="E74" s="270"/>
      <c r="F74" s="270"/>
    </row>
    <row r="75" spans="1:8" ht="54.75" hidden="1" customHeight="1" x14ac:dyDescent="0.25">
      <c r="A75" s="124" t="s">
        <v>15</v>
      </c>
      <c r="B75" s="258" t="s">
        <v>251</v>
      </c>
      <c r="C75" s="259"/>
      <c r="D75" s="162" t="s">
        <v>16</v>
      </c>
      <c r="E75" s="162" t="s">
        <v>17</v>
      </c>
      <c r="F75" s="125" t="s">
        <v>18</v>
      </c>
    </row>
    <row r="76" spans="1:8" ht="54" hidden="1" customHeight="1" x14ac:dyDescent="0.25">
      <c r="A76" s="126"/>
      <c r="B76" s="258"/>
      <c r="C76" s="259"/>
      <c r="D76" s="162"/>
      <c r="E76" s="162"/>
      <c r="F76" s="127"/>
    </row>
    <row r="77" spans="1:8" ht="20.25" hidden="1" customHeight="1" x14ac:dyDescent="0.25">
      <c r="A77" s="126"/>
      <c r="B77" s="258"/>
      <c r="C77" s="259"/>
      <c r="D77" s="162"/>
      <c r="E77" s="162"/>
      <c r="F77" s="127"/>
    </row>
    <row r="78" spans="1:8" ht="15.75" hidden="1" customHeight="1" x14ac:dyDescent="0.25">
      <c r="A78" s="128" t="s">
        <v>250</v>
      </c>
      <c r="B78" s="258"/>
      <c r="C78" s="259"/>
      <c r="D78" s="162"/>
      <c r="E78" s="129">
        <f>SUM(E76:E77)</f>
        <v>0</v>
      </c>
      <c r="F78" s="125"/>
      <c r="H78" s="136">
        <v>0</v>
      </c>
    </row>
    <row r="79" spans="1:8" ht="15.75" customHeight="1" x14ac:dyDescent="0.25">
      <c r="A79" s="130"/>
      <c r="B79" s="131"/>
      <c r="C79" s="131"/>
      <c r="D79" s="131"/>
      <c r="E79" s="132"/>
      <c r="F79" s="133"/>
      <c r="H79" s="136"/>
    </row>
    <row r="80" spans="1:8" ht="22.5" customHeight="1" x14ac:dyDescent="0.25">
      <c r="A80" s="266" t="s">
        <v>550</v>
      </c>
      <c r="B80" s="266"/>
      <c r="C80" s="266"/>
      <c r="D80" s="266"/>
      <c r="E80" s="266"/>
      <c r="F80" s="266"/>
      <c r="H80" s="136"/>
    </row>
    <row r="81" spans="1:8" ht="15.75" customHeight="1" x14ac:dyDescent="0.3">
      <c r="A81" s="268" t="s">
        <v>567</v>
      </c>
      <c r="B81" s="268"/>
      <c r="C81" s="268"/>
      <c r="D81" s="268"/>
      <c r="E81" s="132"/>
      <c r="F81" s="133"/>
      <c r="H81" s="136"/>
    </row>
    <row r="82" spans="1:8" ht="15.75" customHeight="1" x14ac:dyDescent="0.25">
      <c r="A82" s="130"/>
      <c r="B82" s="131"/>
      <c r="C82" s="131"/>
      <c r="D82" s="131"/>
      <c r="E82" s="132"/>
      <c r="F82" s="133"/>
      <c r="H82" s="136"/>
    </row>
    <row r="83" spans="1:8" ht="19.5" customHeight="1" x14ac:dyDescent="0.25">
      <c r="A83" s="266" t="s">
        <v>551</v>
      </c>
      <c r="B83" s="266"/>
      <c r="C83" s="266"/>
      <c r="D83" s="266"/>
      <c r="E83" s="266"/>
      <c r="F83" s="266"/>
      <c r="H83" s="136"/>
    </row>
    <row r="84" spans="1:8" ht="21" customHeight="1" x14ac:dyDescent="0.3">
      <c r="A84" s="268" t="s">
        <v>552</v>
      </c>
      <c r="B84" s="268"/>
      <c r="C84" s="268"/>
      <c r="D84" s="268"/>
      <c r="E84" s="132"/>
      <c r="F84" s="133"/>
      <c r="H84" s="136"/>
    </row>
    <row r="85" spans="1:8" ht="15.75" customHeight="1" x14ac:dyDescent="0.25">
      <c r="A85" s="130"/>
      <c r="B85" s="131"/>
      <c r="C85" s="131"/>
      <c r="D85" s="131"/>
      <c r="E85" s="132"/>
      <c r="F85" s="133"/>
      <c r="H85" s="136"/>
    </row>
    <row r="86" spans="1:8" ht="53.25" customHeight="1" x14ac:dyDescent="0.3">
      <c r="A86" s="286" t="s">
        <v>568</v>
      </c>
      <c r="B86" s="286"/>
      <c r="C86" s="286"/>
      <c r="D86" s="286"/>
      <c r="E86" s="286"/>
      <c r="F86" s="286"/>
      <c r="H86" s="79"/>
    </row>
    <row r="87" spans="1:8" ht="21" customHeight="1" x14ac:dyDescent="0.3">
      <c r="A87" s="231" t="s">
        <v>31</v>
      </c>
      <c r="B87" s="231"/>
      <c r="C87" s="231"/>
      <c r="D87" s="231"/>
      <c r="E87" s="231"/>
      <c r="F87" s="231"/>
      <c r="H87" s="79"/>
    </row>
    <row r="88" spans="1:8" ht="75" customHeight="1" x14ac:dyDescent="0.3">
      <c r="A88" s="231" t="s">
        <v>499</v>
      </c>
      <c r="B88" s="231"/>
      <c r="C88" s="231"/>
      <c r="D88" s="231"/>
      <c r="E88" s="231"/>
      <c r="F88" s="231"/>
      <c r="H88" s="79"/>
    </row>
    <row r="89" spans="1:8" ht="24.75" customHeight="1" x14ac:dyDescent="0.3">
      <c r="A89" s="231" t="s">
        <v>258</v>
      </c>
      <c r="B89" s="231"/>
      <c r="C89" s="231"/>
      <c r="D89" s="231"/>
      <c r="E89" s="231"/>
      <c r="F89" s="231"/>
      <c r="H89" s="79"/>
    </row>
    <row r="90" spans="1:8" ht="72.75" customHeight="1" x14ac:dyDescent="0.3">
      <c r="A90" s="230" t="s">
        <v>520</v>
      </c>
      <c r="B90" s="230"/>
      <c r="C90" s="230"/>
      <c r="D90" s="230"/>
      <c r="E90" s="230"/>
      <c r="F90" s="230"/>
      <c r="H90" s="79"/>
    </row>
    <row r="91" spans="1:8" ht="18" customHeight="1" x14ac:dyDescent="0.3">
      <c r="A91" s="231" t="s">
        <v>282</v>
      </c>
      <c r="B91" s="231"/>
      <c r="C91" s="231"/>
      <c r="D91" s="231"/>
      <c r="E91" s="231"/>
      <c r="F91" s="231"/>
      <c r="H91" s="79"/>
    </row>
    <row r="92" spans="1:8" s="170" customFormat="1" ht="99" customHeight="1" x14ac:dyDescent="0.3">
      <c r="A92" s="230" t="s">
        <v>576</v>
      </c>
      <c r="B92" s="230"/>
      <c r="C92" s="230"/>
      <c r="D92" s="230"/>
      <c r="E92" s="230"/>
      <c r="F92" s="230"/>
    </row>
    <row r="93" spans="1:8" ht="87" customHeight="1" x14ac:dyDescent="0.3">
      <c r="A93" s="230" t="s">
        <v>575</v>
      </c>
      <c r="B93" s="230"/>
      <c r="C93" s="230"/>
      <c r="D93" s="230"/>
      <c r="E93" s="230"/>
      <c r="F93" s="230"/>
      <c r="H93" s="79"/>
    </row>
    <row r="94" spans="1:8" ht="186" customHeight="1" x14ac:dyDescent="0.3">
      <c r="A94" s="230" t="s">
        <v>390</v>
      </c>
      <c r="B94" s="230"/>
      <c r="C94" s="230"/>
      <c r="D94" s="230"/>
      <c r="E94" s="230"/>
      <c r="F94" s="230"/>
      <c r="H94" s="79"/>
    </row>
    <row r="95" spans="1:8" ht="222.75" customHeight="1" x14ac:dyDescent="0.3">
      <c r="A95" s="230" t="s">
        <v>435</v>
      </c>
      <c r="B95" s="230"/>
      <c r="C95" s="230"/>
      <c r="D95" s="230"/>
      <c r="E95" s="230"/>
      <c r="F95" s="230"/>
      <c r="H95" s="79"/>
    </row>
    <row r="96" spans="1:8" ht="19.5" customHeight="1" x14ac:dyDescent="0.3">
      <c r="A96" s="231" t="s">
        <v>85</v>
      </c>
      <c r="B96" s="231"/>
      <c r="C96" s="231"/>
      <c r="D96" s="231"/>
      <c r="E96" s="231"/>
      <c r="F96" s="231"/>
      <c r="H96" s="79"/>
    </row>
    <row r="97" spans="1:8" ht="129" customHeight="1" x14ac:dyDescent="0.3">
      <c r="A97" s="231" t="s">
        <v>578</v>
      </c>
      <c r="B97" s="231"/>
      <c r="C97" s="231"/>
      <c r="D97" s="231"/>
      <c r="E97" s="231"/>
      <c r="F97" s="231"/>
      <c r="H97" s="79"/>
    </row>
    <row r="98" spans="1:8" ht="117.75" customHeight="1" x14ac:dyDescent="0.3">
      <c r="A98" s="230" t="s">
        <v>577</v>
      </c>
      <c r="B98" s="230"/>
      <c r="C98" s="230"/>
      <c r="D98" s="230"/>
      <c r="E98" s="230"/>
      <c r="F98" s="230"/>
      <c r="H98" s="79"/>
    </row>
    <row r="99" spans="1:8" ht="264.75" customHeight="1" x14ac:dyDescent="0.3">
      <c r="A99" s="230" t="s">
        <v>404</v>
      </c>
      <c r="B99" s="230"/>
      <c r="C99" s="230"/>
      <c r="D99" s="230"/>
      <c r="E99" s="230"/>
      <c r="F99" s="230"/>
      <c r="H99" s="79"/>
    </row>
    <row r="100" spans="1:8" ht="98.25" customHeight="1" x14ac:dyDescent="0.3">
      <c r="A100" s="230" t="s">
        <v>582</v>
      </c>
      <c r="B100" s="230"/>
      <c r="C100" s="230"/>
      <c r="D100" s="230"/>
      <c r="E100" s="230"/>
      <c r="F100" s="230"/>
      <c r="H100" s="79"/>
    </row>
    <row r="101" spans="1:8" ht="89.25" customHeight="1" x14ac:dyDescent="0.3">
      <c r="A101" s="230" t="s">
        <v>581</v>
      </c>
      <c r="B101" s="230"/>
      <c r="C101" s="230"/>
      <c r="D101" s="230"/>
      <c r="E101" s="230"/>
      <c r="F101" s="230"/>
      <c r="H101" s="79"/>
    </row>
    <row r="102" spans="1:8" ht="243" customHeight="1" x14ac:dyDescent="0.3">
      <c r="A102" s="230" t="s">
        <v>382</v>
      </c>
      <c r="B102" s="230"/>
      <c r="C102" s="230"/>
      <c r="D102" s="230"/>
      <c r="E102" s="230"/>
      <c r="F102" s="230"/>
      <c r="H102" s="79"/>
    </row>
    <row r="103" spans="1:8" ht="246.75" customHeight="1" x14ac:dyDescent="0.3">
      <c r="A103" s="230" t="s">
        <v>388</v>
      </c>
      <c r="B103" s="230"/>
      <c r="C103" s="230"/>
      <c r="D103" s="230"/>
      <c r="E103" s="230"/>
      <c r="F103" s="230"/>
      <c r="H103" s="79"/>
    </row>
    <row r="104" spans="1:8" ht="205.5" customHeight="1" x14ac:dyDescent="0.3">
      <c r="A104" s="230" t="s">
        <v>392</v>
      </c>
      <c r="B104" s="230"/>
      <c r="C104" s="230"/>
      <c r="D104" s="230"/>
      <c r="E104" s="230"/>
      <c r="F104" s="230"/>
      <c r="H104" s="79"/>
    </row>
    <row r="105" spans="1:8" ht="73.5" customHeight="1" x14ac:dyDescent="0.3">
      <c r="A105" s="230" t="s">
        <v>523</v>
      </c>
      <c r="B105" s="230"/>
      <c r="C105" s="230"/>
      <c r="D105" s="230"/>
      <c r="E105" s="230"/>
      <c r="F105" s="230"/>
      <c r="H105" s="79"/>
    </row>
    <row r="106" spans="1:8" s="99" customFormat="1" ht="24" customHeight="1" x14ac:dyDescent="0.2">
      <c r="A106" s="165"/>
      <c r="B106" s="260" t="s">
        <v>2</v>
      </c>
      <c r="C106" s="260"/>
      <c r="D106" s="165" t="s">
        <v>3</v>
      </c>
      <c r="E106" s="165" t="s">
        <v>4</v>
      </c>
      <c r="F106" s="165" t="s">
        <v>5</v>
      </c>
    </row>
    <row r="107" spans="1:8" s="99" customFormat="1" ht="18.75" x14ac:dyDescent="0.2">
      <c r="A107" s="255" t="s">
        <v>30</v>
      </c>
      <c r="B107" s="145" t="s">
        <v>449</v>
      </c>
      <c r="C107" s="165"/>
      <c r="D107" s="292">
        <v>60598</v>
      </c>
      <c r="E107" s="292">
        <v>-6653.3379500000001</v>
      </c>
      <c r="F107" s="293">
        <f t="shared" ref="F107:F159" si="1">D107+E107</f>
        <v>53944.662049999999</v>
      </c>
    </row>
    <row r="108" spans="1:8" s="99" customFormat="1" ht="18.75" x14ac:dyDescent="0.2">
      <c r="A108" s="256"/>
      <c r="B108" s="145" t="s">
        <v>450</v>
      </c>
      <c r="C108" s="165"/>
      <c r="D108" s="292">
        <v>49964.2</v>
      </c>
      <c r="E108" s="292">
        <v>-37543.160739999999</v>
      </c>
      <c r="F108" s="293">
        <f t="shared" si="1"/>
        <v>12421.039259999998</v>
      </c>
    </row>
    <row r="109" spans="1:8" s="99" customFormat="1" ht="18.75" x14ac:dyDescent="0.2">
      <c r="A109" s="256"/>
      <c r="B109" s="145" t="s">
        <v>522</v>
      </c>
      <c r="C109" s="165"/>
      <c r="D109" s="143">
        <v>3773.7</v>
      </c>
      <c r="E109" s="144">
        <v>-7.1999999999999995E-2</v>
      </c>
      <c r="F109" s="137">
        <f t="shared" si="1"/>
        <v>3773.6279999999997</v>
      </c>
    </row>
    <row r="110" spans="1:8" s="99" customFormat="1" ht="18.75" x14ac:dyDescent="0.3">
      <c r="A110" s="257"/>
      <c r="B110" s="113" t="s">
        <v>394</v>
      </c>
      <c r="C110" s="113"/>
      <c r="D110" s="114">
        <v>1329.4</v>
      </c>
      <c r="E110" s="137">
        <v>-71.5</v>
      </c>
      <c r="F110" s="137">
        <f t="shared" si="1"/>
        <v>1257.9000000000001</v>
      </c>
    </row>
    <row r="111" spans="1:8" s="99" customFormat="1" ht="18.75" customHeight="1" x14ac:dyDescent="0.3">
      <c r="A111" s="261" t="s">
        <v>8</v>
      </c>
      <c r="B111" s="113" t="s">
        <v>280</v>
      </c>
      <c r="C111" s="113"/>
      <c r="D111" s="114">
        <v>26676.9</v>
      </c>
      <c r="E111" s="137">
        <v>2494.6</v>
      </c>
      <c r="F111" s="137">
        <f t="shared" si="1"/>
        <v>29171.5</v>
      </c>
    </row>
    <row r="112" spans="1:8" s="99" customFormat="1" ht="18.75" customHeight="1" x14ac:dyDescent="0.3">
      <c r="A112" s="261"/>
      <c r="B112" s="113" t="s">
        <v>253</v>
      </c>
      <c r="C112" s="113"/>
      <c r="D112" s="114">
        <v>164479.4</v>
      </c>
      <c r="E112" s="137">
        <v>5719.6</v>
      </c>
      <c r="F112" s="137">
        <f t="shared" si="1"/>
        <v>170199</v>
      </c>
    </row>
    <row r="113" spans="1:8" s="99" customFormat="1" ht="18.75" customHeight="1" x14ac:dyDescent="0.3">
      <c r="A113" s="261"/>
      <c r="B113" s="113" t="s">
        <v>254</v>
      </c>
      <c r="C113" s="113"/>
      <c r="D113" s="114">
        <v>134797.4</v>
      </c>
      <c r="E113" s="137">
        <v>7087.1</v>
      </c>
      <c r="F113" s="137">
        <f t="shared" si="1"/>
        <v>141884.5</v>
      </c>
    </row>
    <row r="114" spans="1:8" s="99" customFormat="1" ht="18.75" customHeight="1" x14ac:dyDescent="0.3">
      <c r="A114" s="261"/>
      <c r="B114" s="113" t="s">
        <v>277</v>
      </c>
      <c r="C114" s="113"/>
      <c r="D114" s="114">
        <v>22755.7</v>
      </c>
      <c r="E114" s="137">
        <v>1949.2</v>
      </c>
      <c r="F114" s="137">
        <f t="shared" si="1"/>
        <v>24704.9</v>
      </c>
    </row>
    <row r="115" spans="1:8" s="99" customFormat="1" ht="18.75" customHeight="1" x14ac:dyDescent="0.3">
      <c r="A115" s="261"/>
      <c r="B115" s="113" t="s">
        <v>320</v>
      </c>
      <c r="C115" s="113"/>
      <c r="D115" s="114">
        <v>22446</v>
      </c>
      <c r="E115" s="137">
        <v>1688.2</v>
      </c>
      <c r="F115" s="137">
        <f t="shared" si="1"/>
        <v>24134.2</v>
      </c>
      <c r="H115" s="87"/>
    </row>
    <row r="116" spans="1:8" s="99" customFormat="1" ht="18.75" customHeight="1" x14ac:dyDescent="0.3">
      <c r="A116" s="261"/>
      <c r="B116" s="113" t="s">
        <v>312</v>
      </c>
      <c r="C116" s="113"/>
      <c r="D116" s="114">
        <v>19141.3</v>
      </c>
      <c r="E116" s="137">
        <v>1346.3</v>
      </c>
      <c r="F116" s="137">
        <f t="shared" si="1"/>
        <v>20487.599999999999</v>
      </c>
      <c r="H116" s="87"/>
    </row>
    <row r="117" spans="1:8" s="99" customFormat="1" ht="18.75" customHeight="1" x14ac:dyDescent="0.3">
      <c r="A117" s="261"/>
      <c r="B117" s="113" t="s">
        <v>284</v>
      </c>
      <c r="C117" s="113"/>
      <c r="D117" s="114">
        <v>7120.3</v>
      </c>
      <c r="E117" s="137">
        <v>634</v>
      </c>
      <c r="F117" s="137">
        <f t="shared" si="1"/>
        <v>7754.3</v>
      </c>
      <c r="H117" s="87"/>
    </row>
    <row r="118" spans="1:8" s="99" customFormat="1" ht="18.75" customHeight="1" x14ac:dyDescent="0.3">
      <c r="A118" s="261"/>
      <c r="B118" s="113" t="s">
        <v>521</v>
      </c>
      <c r="C118" s="113"/>
      <c r="D118" s="114">
        <v>3738</v>
      </c>
      <c r="E118" s="137">
        <v>673</v>
      </c>
      <c r="F118" s="137">
        <f t="shared" si="1"/>
        <v>4411</v>
      </c>
      <c r="H118" s="87"/>
    </row>
    <row r="119" spans="1:8" s="99" customFormat="1" ht="18.75" customHeight="1" x14ac:dyDescent="0.3">
      <c r="A119" s="261"/>
      <c r="B119" s="113" t="s">
        <v>332</v>
      </c>
      <c r="C119" s="113"/>
      <c r="D119" s="114">
        <v>7664.8</v>
      </c>
      <c r="E119" s="137">
        <v>605.20714999999996</v>
      </c>
      <c r="F119" s="137">
        <f t="shared" si="1"/>
        <v>8270.0071499999995</v>
      </c>
      <c r="H119" s="87"/>
    </row>
    <row r="120" spans="1:8" s="99" customFormat="1" ht="18.75" customHeight="1" x14ac:dyDescent="0.3">
      <c r="A120" s="261"/>
      <c r="B120" s="113" t="s">
        <v>310</v>
      </c>
      <c r="C120" s="113"/>
      <c r="D120" s="114">
        <v>1341.3</v>
      </c>
      <c r="E120" s="137">
        <v>-150</v>
      </c>
      <c r="F120" s="137">
        <f t="shared" si="1"/>
        <v>1191.3</v>
      </c>
      <c r="H120" s="87"/>
    </row>
    <row r="121" spans="1:8" s="99" customFormat="1" ht="18.75" customHeight="1" x14ac:dyDescent="0.3">
      <c r="A121" s="261"/>
      <c r="B121" s="113" t="s">
        <v>395</v>
      </c>
      <c r="C121" s="113"/>
      <c r="D121" s="114">
        <v>207</v>
      </c>
      <c r="E121" s="137">
        <v>-90</v>
      </c>
      <c r="F121" s="137">
        <f t="shared" si="1"/>
        <v>117</v>
      </c>
      <c r="H121" s="117"/>
    </row>
    <row r="122" spans="1:8" s="99" customFormat="1" ht="18.75" customHeight="1" x14ac:dyDescent="0.3">
      <c r="A122" s="261"/>
      <c r="B122" s="113" t="s">
        <v>286</v>
      </c>
      <c r="C122" s="113"/>
      <c r="D122" s="114">
        <v>236.9</v>
      </c>
      <c r="E122" s="137">
        <v>-75</v>
      </c>
      <c r="F122" s="137">
        <f t="shared" si="1"/>
        <v>161.9</v>
      </c>
      <c r="H122" s="117"/>
    </row>
    <row r="123" spans="1:8" s="99" customFormat="1" ht="18.75" customHeight="1" x14ac:dyDescent="0.3">
      <c r="A123" s="261"/>
      <c r="B123" s="113" t="s">
        <v>396</v>
      </c>
      <c r="C123" s="113"/>
      <c r="D123" s="114">
        <v>570</v>
      </c>
      <c r="E123" s="137">
        <v>-39</v>
      </c>
      <c r="F123" s="137">
        <f t="shared" si="1"/>
        <v>531</v>
      </c>
      <c r="H123" s="117"/>
    </row>
    <row r="124" spans="1:8" s="99" customFormat="1" ht="18.75" customHeight="1" x14ac:dyDescent="0.3">
      <c r="A124" s="261"/>
      <c r="B124" s="113" t="s">
        <v>397</v>
      </c>
      <c r="C124" s="113"/>
      <c r="D124" s="114">
        <v>250</v>
      </c>
      <c r="E124" s="137">
        <v>-150</v>
      </c>
      <c r="F124" s="137">
        <f t="shared" si="1"/>
        <v>100</v>
      </c>
      <c r="H124" s="117"/>
    </row>
    <row r="125" spans="1:8" s="99" customFormat="1" ht="18.75" customHeight="1" x14ac:dyDescent="0.3">
      <c r="A125" s="261" t="s">
        <v>25</v>
      </c>
      <c r="B125" s="113" t="s">
        <v>393</v>
      </c>
      <c r="C125" s="113"/>
      <c r="D125" s="114">
        <v>32</v>
      </c>
      <c r="E125" s="137">
        <v>-22</v>
      </c>
      <c r="F125" s="137">
        <f t="shared" si="1"/>
        <v>10</v>
      </c>
      <c r="H125" s="117"/>
    </row>
    <row r="126" spans="1:8" s="99" customFormat="1" ht="18.75" customHeight="1" x14ac:dyDescent="0.3">
      <c r="A126" s="261"/>
      <c r="B126" s="113" t="s">
        <v>96</v>
      </c>
      <c r="C126" s="113"/>
      <c r="D126" s="114">
        <v>46.961739999999999</v>
      </c>
      <c r="E126" s="137">
        <f>0.14146+0.14146</f>
        <v>0.28292</v>
      </c>
      <c r="F126" s="137">
        <f t="shared" si="1"/>
        <v>47.244659999999996</v>
      </c>
      <c r="H126" s="117"/>
    </row>
    <row r="127" spans="1:8" s="99" customFormat="1" ht="18.75" customHeight="1" x14ac:dyDescent="0.3">
      <c r="A127" s="261"/>
      <c r="B127" s="113" t="s">
        <v>51</v>
      </c>
      <c r="C127" s="113"/>
      <c r="D127" s="114">
        <v>9533.8382600000004</v>
      </c>
      <c r="E127" s="137">
        <f>28.35854+28.19444+0.0641</f>
        <v>56.617080000000009</v>
      </c>
      <c r="F127" s="137">
        <f t="shared" si="1"/>
        <v>9590.4553400000004</v>
      </c>
      <c r="H127" s="117"/>
    </row>
    <row r="128" spans="1:8" s="99" customFormat="1" ht="18.75" customHeight="1" x14ac:dyDescent="0.3">
      <c r="A128" s="261"/>
      <c r="B128" s="113" t="s">
        <v>498</v>
      </c>
      <c r="C128" s="113"/>
      <c r="D128" s="114">
        <v>0</v>
      </c>
      <c r="E128" s="137">
        <v>6.3149999999999998E-2</v>
      </c>
      <c r="F128" s="137">
        <f t="shared" ref="F128" si="2">D128+E128</f>
        <v>6.3149999999999998E-2</v>
      </c>
      <c r="H128" s="117"/>
    </row>
    <row r="129" spans="1:8" s="99" customFormat="1" ht="18.75" customHeight="1" x14ac:dyDescent="0.3">
      <c r="A129" s="261"/>
      <c r="B129" s="113" t="s">
        <v>287</v>
      </c>
      <c r="C129" s="113"/>
      <c r="D129" s="114">
        <v>0</v>
      </c>
      <c r="E129" s="137">
        <v>9.4368499999999997</v>
      </c>
      <c r="F129" s="137">
        <f t="shared" si="1"/>
        <v>9.4368499999999997</v>
      </c>
      <c r="H129" s="117"/>
    </row>
    <row r="130" spans="1:8" s="99" customFormat="1" ht="18.75" customHeight="1" x14ac:dyDescent="0.3">
      <c r="A130" s="261"/>
      <c r="B130" s="113" t="s">
        <v>497</v>
      </c>
      <c r="C130" s="113"/>
      <c r="D130" s="114">
        <v>260.3</v>
      </c>
      <c r="E130" s="137">
        <v>-10</v>
      </c>
      <c r="F130" s="137">
        <f t="shared" ref="F130" si="3">D130+E130</f>
        <v>250.3</v>
      </c>
      <c r="H130" s="117"/>
    </row>
    <row r="131" spans="1:8" s="99" customFormat="1" ht="18.75" customHeight="1" x14ac:dyDescent="0.3">
      <c r="A131" s="261"/>
      <c r="B131" s="113" t="s">
        <v>290</v>
      </c>
      <c r="C131" s="113"/>
      <c r="D131" s="114">
        <v>25849.7</v>
      </c>
      <c r="E131" s="137">
        <v>-790</v>
      </c>
      <c r="F131" s="137">
        <f t="shared" si="1"/>
        <v>25059.7</v>
      </c>
      <c r="H131" s="117"/>
    </row>
    <row r="132" spans="1:8" s="99" customFormat="1" ht="18.75" customHeight="1" x14ac:dyDescent="0.3">
      <c r="A132" s="261"/>
      <c r="B132" s="113" t="s">
        <v>496</v>
      </c>
      <c r="C132" s="113"/>
      <c r="D132" s="114">
        <v>29.6</v>
      </c>
      <c r="E132" s="137">
        <v>-5.8131599999999999</v>
      </c>
      <c r="F132" s="137">
        <f t="shared" ref="F132" si="4">D132+E132</f>
        <v>23.786840000000002</v>
      </c>
      <c r="H132" s="117"/>
    </row>
    <row r="133" spans="1:8" s="99" customFormat="1" ht="18.75" customHeight="1" x14ac:dyDescent="0.3">
      <c r="A133" s="261"/>
      <c r="B133" s="113" t="s">
        <v>381</v>
      </c>
      <c r="C133" s="113"/>
      <c r="D133" s="114">
        <v>1493.4</v>
      </c>
      <c r="E133" s="137">
        <v>-254.18683999999999</v>
      </c>
      <c r="F133" s="137">
        <f t="shared" si="1"/>
        <v>1239.21316</v>
      </c>
      <c r="H133" s="117"/>
    </row>
    <row r="134" spans="1:8" s="99" customFormat="1" ht="18.75" customHeight="1" x14ac:dyDescent="0.3">
      <c r="A134" s="261"/>
      <c r="B134" s="113" t="s">
        <v>383</v>
      </c>
      <c r="C134" s="113"/>
      <c r="D134" s="114">
        <v>8496.7000000000007</v>
      </c>
      <c r="E134" s="137">
        <v>-173</v>
      </c>
      <c r="F134" s="137">
        <f t="shared" si="1"/>
        <v>8323.7000000000007</v>
      </c>
      <c r="H134" s="117"/>
    </row>
    <row r="135" spans="1:8" s="99" customFormat="1" ht="18.75" customHeight="1" x14ac:dyDescent="0.3">
      <c r="A135" s="261"/>
      <c r="B135" s="113" t="s">
        <v>408</v>
      </c>
      <c r="C135" s="113"/>
      <c r="D135" s="114">
        <v>63.9</v>
      </c>
      <c r="E135" s="137">
        <v>0.56877999999999995</v>
      </c>
      <c r="F135" s="137">
        <f t="shared" ref="F135" si="5">D135+E135</f>
        <v>64.468779999999995</v>
      </c>
      <c r="H135" s="117"/>
    </row>
    <row r="136" spans="1:8" s="99" customFormat="1" ht="18.75" customHeight="1" x14ac:dyDescent="0.3">
      <c r="A136" s="261"/>
      <c r="B136" s="113" t="s">
        <v>294</v>
      </c>
      <c r="C136" s="113"/>
      <c r="D136" s="114">
        <v>12603.3</v>
      </c>
      <c r="E136" s="137">
        <v>194.22407000000001</v>
      </c>
      <c r="F136" s="137">
        <f t="shared" si="1"/>
        <v>12797.524069999999</v>
      </c>
      <c r="H136" s="117"/>
    </row>
    <row r="137" spans="1:8" s="99" customFormat="1" ht="18.75" customHeight="1" x14ac:dyDescent="0.3">
      <c r="A137" s="261"/>
      <c r="B137" s="113" t="s">
        <v>291</v>
      </c>
      <c r="C137" s="113"/>
      <c r="D137" s="114">
        <v>592.20000000000005</v>
      </c>
      <c r="E137" s="137">
        <v>-10</v>
      </c>
      <c r="F137" s="137">
        <f t="shared" si="1"/>
        <v>582.20000000000005</v>
      </c>
      <c r="H137" s="117"/>
    </row>
    <row r="138" spans="1:8" s="99" customFormat="1" ht="18.75" customHeight="1" x14ac:dyDescent="0.3">
      <c r="A138" s="261"/>
      <c r="B138" s="113" t="s">
        <v>384</v>
      </c>
      <c r="C138" s="113"/>
      <c r="D138" s="114">
        <v>9.8000000000000007</v>
      </c>
      <c r="E138" s="137">
        <v>-5.0999999999999996</v>
      </c>
      <c r="F138" s="137">
        <f t="shared" si="1"/>
        <v>4.7000000000000011</v>
      </c>
      <c r="H138" s="117"/>
    </row>
    <row r="139" spans="1:8" s="99" customFormat="1" ht="18.75" customHeight="1" x14ac:dyDescent="0.3">
      <c r="A139" s="261"/>
      <c r="B139" s="113" t="s">
        <v>534</v>
      </c>
      <c r="C139" s="113"/>
      <c r="D139" s="114">
        <v>5.5</v>
      </c>
      <c r="E139" s="137">
        <v>-1.2</v>
      </c>
      <c r="F139" s="137">
        <f t="shared" ref="F139" si="6">D139+E139</f>
        <v>4.3</v>
      </c>
      <c r="H139" s="117"/>
    </row>
    <row r="140" spans="1:8" s="99" customFormat="1" ht="18.75" customHeight="1" x14ac:dyDescent="0.3">
      <c r="A140" s="261"/>
      <c r="B140" s="113" t="s">
        <v>387</v>
      </c>
      <c r="C140" s="113"/>
      <c r="D140" s="114">
        <v>404.4</v>
      </c>
      <c r="E140" s="137">
        <f>35.1+1.2</f>
        <v>36.300000000000004</v>
      </c>
      <c r="F140" s="137">
        <f t="shared" si="1"/>
        <v>440.7</v>
      </c>
      <c r="H140" s="117"/>
    </row>
    <row r="141" spans="1:8" s="99" customFormat="1" ht="18" customHeight="1" x14ac:dyDescent="0.3">
      <c r="A141" s="261"/>
      <c r="B141" s="113" t="s">
        <v>292</v>
      </c>
      <c r="C141" s="113"/>
      <c r="D141" s="114">
        <v>94659</v>
      </c>
      <c r="E141" s="137">
        <v>-1700</v>
      </c>
      <c r="F141" s="137">
        <f t="shared" si="1"/>
        <v>92959</v>
      </c>
      <c r="H141" s="117"/>
    </row>
    <row r="142" spans="1:8" s="99" customFormat="1" ht="18.75" customHeight="1" x14ac:dyDescent="0.3">
      <c r="A142" s="261"/>
      <c r="B142" s="113" t="s">
        <v>495</v>
      </c>
      <c r="C142" s="113"/>
      <c r="D142" s="114">
        <v>287</v>
      </c>
      <c r="E142" s="137">
        <v>-32.41874</v>
      </c>
      <c r="F142" s="137">
        <f t="shared" ref="F142" si="7">D142+E142</f>
        <v>254.58125999999999</v>
      </c>
      <c r="H142" s="117"/>
    </row>
    <row r="143" spans="1:8" s="99" customFormat="1" ht="18.75" customHeight="1" x14ac:dyDescent="0.3">
      <c r="A143" s="261"/>
      <c r="B143" s="113" t="s">
        <v>385</v>
      </c>
      <c r="C143" s="113"/>
      <c r="D143" s="114">
        <v>19193</v>
      </c>
      <c r="E143" s="137">
        <v>-1175.5812599999999</v>
      </c>
      <c r="F143" s="137">
        <f t="shared" si="1"/>
        <v>18017.418740000001</v>
      </c>
      <c r="H143" s="117"/>
    </row>
    <row r="144" spans="1:8" s="99" customFormat="1" ht="18.75" customHeight="1" x14ac:dyDescent="0.3">
      <c r="A144" s="261"/>
      <c r="B144" s="113" t="s">
        <v>386</v>
      </c>
      <c r="C144" s="113"/>
      <c r="D144" s="114">
        <v>27683</v>
      </c>
      <c r="E144" s="137">
        <v>-2344</v>
      </c>
      <c r="F144" s="137">
        <f t="shared" si="1"/>
        <v>25339</v>
      </c>
      <c r="H144" s="117"/>
    </row>
    <row r="145" spans="1:8" s="99" customFormat="1" ht="18.75" customHeight="1" x14ac:dyDescent="0.3">
      <c r="A145" s="261"/>
      <c r="B145" s="113" t="s">
        <v>289</v>
      </c>
      <c r="C145" s="113"/>
      <c r="D145" s="114">
        <v>11125.7</v>
      </c>
      <c r="E145" s="137">
        <f>0.11647+10.88353</f>
        <v>11</v>
      </c>
      <c r="F145" s="137">
        <f t="shared" si="1"/>
        <v>11136.7</v>
      </c>
      <c r="H145" s="117"/>
    </row>
    <row r="146" spans="1:8" s="99" customFormat="1" ht="18.75" customHeight="1" x14ac:dyDescent="0.3">
      <c r="A146" s="261"/>
      <c r="B146" s="113" t="s">
        <v>391</v>
      </c>
      <c r="C146" s="113"/>
      <c r="D146" s="114">
        <v>84.7</v>
      </c>
      <c r="E146" s="137">
        <v>-8</v>
      </c>
      <c r="F146" s="137">
        <f t="shared" si="1"/>
        <v>76.7</v>
      </c>
      <c r="H146" s="117"/>
    </row>
    <row r="147" spans="1:8" s="99" customFormat="1" ht="18.75" customHeight="1" x14ac:dyDescent="0.3">
      <c r="A147" s="261"/>
      <c r="B147" s="113" t="s">
        <v>494</v>
      </c>
      <c r="C147" s="113"/>
      <c r="D147" s="114">
        <v>6.5</v>
      </c>
      <c r="E147" s="137">
        <v>-1.0729900000000001</v>
      </c>
      <c r="F147" s="137">
        <f t="shared" si="1"/>
        <v>5.4270100000000001</v>
      </c>
      <c r="H147" s="117"/>
    </row>
    <row r="148" spans="1:8" s="99" customFormat="1" ht="18.75" customHeight="1" x14ac:dyDescent="0.3">
      <c r="A148" s="261"/>
      <c r="B148" s="113" t="s">
        <v>288</v>
      </c>
      <c r="C148" s="113"/>
      <c r="D148" s="114">
        <v>1128.5</v>
      </c>
      <c r="E148" s="137">
        <v>-127.92701</v>
      </c>
      <c r="F148" s="137">
        <f t="shared" ref="F148:F158" si="8">D148+E148</f>
        <v>1000.57299</v>
      </c>
      <c r="H148" s="117"/>
    </row>
    <row r="149" spans="1:8" s="99" customFormat="1" ht="18.75" customHeight="1" x14ac:dyDescent="0.3">
      <c r="A149" s="261"/>
      <c r="B149" s="113" t="s">
        <v>293</v>
      </c>
      <c r="C149" s="113"/>
      <c r="D149" s="114">
        <v>462.2</v>
      </c>
      <c r="E149" s="137">
        <v>15</v>
      </c>
      <c r="F149" s="137">
        <f t="shared" si="8"/>
        <v>477.2</v>
      </c>
      <c r="H149" s="117"/>
    </row>
    <row r="150" spans="1:8" s="99" customFormat="1" ht="18.75" customHeight="1" x14ac:dyDescent="0.3">
      <c r="A150" s="261"/>
      <c r="B150" s="113" t="s">
        <v>104</v>
      </c>
      <c r="C150" s="113"/>
      <c r="D150" s="114">
        <v>98080</v>
      </c>
      <c r="E150" s="137">
        <v>-600</v>
      </c>
      <c r="F150" s="137">
        <f t="shared" si="8"/>
        <v>97480</v>
      </c>
      <c r="H150" s="117"/>
    </row>
    <row r="151" spans="1:8" s="99" customFormat="1" ht="18.75" customHeight="1" x14ac:dyDescent="0.3">
      <c r="A151" s="261"/>
      <c r="B151" s="113" t="s">
        <v>295</v>
      </c>
      <c r="C151" s="113"/>
      <c r="D151" s="114">
        <v>1143.4000000000001</v>
      </c>
      <c r="E151" s="137">
        <f>148.63468+24.62481</f>
        <v>173.25949</v>
      </c>
      <c r="F151" s="137">
        <f t="shared" si="8"/>
        <v>1316.65949</v>
      </c>
      <c r="H151" s="117"/>
    </row>
    <row r="152" spans="1:8" s="99" customFormat="1" ht="18.75" customHeight="1" x14ac:dyDescent="0.3">
      <c r="A152" s="261"/>
      <c r="B152" s="113" t="s">
        <v>296</v>
      </c>
      <c r="C152" s="113"/>
      <c r="D152" s="114">
        <v>166.6</v>
      </c>
      <c r="E152" s="137">
        <v>24.74051</v>
      </c>
      <c r="F152" s="137">
        <f t="shared" si="8"/>
        <v>191.34050999999999</v>
      </c>
      <c r="H152" s="117"/>
    </row>
    <row r="153" spans="1:8" s="99" customFormat="1" ht="18.75" customHeight="1" x14ac:dyDescent="0.3">
      <c r="A153" s="261"/>
      <c r="B153" s="113" t="s">
        <v>380</v>
      </c>
      <c r="C153" s="113"/>
      <c r="D153" s="114">
        <v>749</v>
      </c>
      <c r="E153" s="137">
        <v>-40</v>
      </c>
      <c r="F153" s="137">
        <f t="shared" si="8"/>
        <v>709</v>
      </c>
      <c r="H153" s="117"/>
    </row>
    <row r="154" spans="1:8" s="99" customFormat="1" ht="18.75" customHeight="1" x14ac:dyDescent="0.3">
      <c r="A154" s="261"/>
      <c r="B154" s="113" t="s">
        <v>493</v>
      </c>
      <c r="C154" s="113"/>
      <c r="D154" s="114">
        <v>1</v>
      </c>
      <c r="E154" s="137">
        <v>-1</v>
      </c>
      <c r="F154" s="137">
        <f t="shared" ref="F154" si="9">D154+E154</f>
        <v>0</v>
      </c>
      <c r="H154" s="117"/>
    </row>
    <row r="155" spans="1:8" s="99" customFormat="1" ht="18.75" customHeight="1" x14ac:dyDescent="0.3">
      <c r="A155" s="261"/>
      <c r="B155" s="113" t="s">
        <v>106</v>
      </c>
      <c r="C155" s="113"/>
      <c r="D155" s="114">
        <v>52960</v>
      </c>
      <c r="E155" s="137">
        <v>-7949</v>
      </c>
      <c r="F155" s="137">
        <f t="shared" si="8"/>
        <v>45011</v>
      </c>
      <c r="H155" s="117"/>
    </row>
    <row r="156" spans="1:8" s="99" customFormat="1" ht="18.75" customHeight="1" x14ac:dyDescent="0.3">
      <c r="A156" s="261"/>
      <c r="B156" s="113" t="s">
        <v>301</v>
      </c>
      <c r="C156" s="113"/>
      <c r="D156" s="114">
        <v>40930</v>
      </c>
      <c r="E156" s="137">
        <v>-4526</v>
      </c>
      <c r="F156" s="137">
        <f t="shared" si="8"/>
        <v>36404</v>
      </c>
      <c r="H156" s="117"/>
    </row>
    <row r="157" spans="1:8" s="99" customFormat="1" ht="18.75" customHeight="1" x14ac:dyDescent="0.3">
      <c r="A157" s="261"/>
      <c r="B157" s="113" t="s">
        <v>389</v>
      </c>
      <c r="C157" s="113"/>
      <c r="D157" s="114">
        <v>205</v>
      </c>
      <c r="E157" s="137">
        <v>-28</v>
      </c>
      <c r="F157" s="137">
        <f t="shared" si="8"/>
        <v>177</v>
      </c>
      <c r="H157" s="117"/>
    </row>
    <row r="158" spans="1:8" s="99" customFormat="1" ht="18.75" customHeight="1" x14ac:dyDescent="0.3">
      <c r="A158" s="261"/>
      <c r="B158" s="113" t="s">
        <v>322</v>
      </c>
      <c r="C158" s="113"/>
      <c r="D158" s="114">
        <v>19745</v>
      </c>
      <c r="E158" s="137">
        <f>1403.06398+696.93602</f>
        <v>2100</v>
      </c>
      <c r="F158" s="137">
        <f t="shared" si="8"/>
        <v>21845</v>
      </c>
      <c r="H158" s="117"/>
    </row>
    <row r="159" spans="1:8" s="99" customFormat="1" ht="18.75" customHeight="1" x14ac:dyDescent="0.3">
      <c r="A159" s="261"/>
      <c r="B159" s="113" t="s">
        <v>524</v>
      </c>
      <c r="C159" s="113"/>
      <c r="D159" s="114">
        <v>7725.3</v>
      </c>
      <c r="E159" s="137">
        <v>-6.9849999999999995E-2</v>
      </c>
      <c r="F159" s="137">
        <f t="shared" si="1"/>
        <v>7725.2301500000003</v>
      </c>
      <c r="H159" s="117"/>
    </row>
    <row r="160" spans="1:8" s="99" customFormat="1" ht="18.75" customHeight="1" x14ac:dyDescent="0.3">
      <c r="A160" s="255" t="s">
        <v>26</v>
      </c>
      <c r="B160" s="113" t="s">
        <v>279</v>
      </c>
      <c r="C160" s="113"/>
      <c r="D160" s="114">
        <v>190886.39999999999</v>
      </c>
      <c r="E160" s="137">
        <v>31316.400000000001</v>
      </c>
      <c r="F160" s="137">
        <f>D160+E160</f>
        <v>222202.8</v>
      </c>
      <c r="H160" s="117"/>
    </row>
    <row r="161" spans="1:8" s="99" customFormat="1" ht="18.75" customHeight="1" x14ac:dyDescent="0.3">
      <c r="A161" s="256"/>
      <c r="B161" s="113" t="s">
        <v>318</v>
      </c>
      <c r="C161" s="113"/>
      <c r="D161" s="114">
        <v>4815.7</v>
      </c>
      <c r="E161" s="137">
        <v>23.6</v>
      </c>
      <c r="F161" s="137">
        <f>D161+E161</f>
        <v>4839.3</v>
      </c>
      <c r="H161" s="117"/>
    </row>
    <row r="162" spans="1:8" s="99" customFormat="1" ht="18.75" customHeight="1" x14ac:dyDescent="0.3">
      <c r="A162" s="256"/>
      <c r="B162" s="113" t="s">
        <v>319</v>
      </c>
      <c r="C162" s="113"/>
      <c r="D162" s="114">
        <v>14135.7</v>
      </c>
      <c r="E162" s="137">
        <v>26941</v>
      </c>
      <c r="F162" s="137">
        <f>D162+E162</f>
        <v>41076.699999999997</v>
      </c>
      <c r="H162" s="117"/>
    </row>
    <row r="163" spans="1:8" s="99" customFormat="1" ht="18.75" customHeight="1" x14ac:dyDescent="0.3">
      <c r="A163" s="257"/>
      <c r="B163" s="113" t="s">
        <v>436</v>
      </c>
      <c r="C163" s="113"/>
      <c r="D163" s="114">
        <v>0</v>
      </c>
      <c r="E163" s="137">
        <v>90</v>
      </c>
      <c r="F163" s="137">
        <f>D163+E163</f>
        <v>90</v>
      </c>
      <c r="H163" s="117"/>
    </row>
    <row r="164" spans="1:8" s="99" customFormat="1" ht="18.75" customHeight="1" x14ac:dyDescent="0.3">
      <c r="A164" s="164"/>
      <c r="B164" s="240" t="s">
        <v>431</v>
      </c>
      <c r="C164" s="241"/>
      <c r="D164" s="241"/>
      <c r="E164" s="241"/>
      <c r="F164" s="242"/>
      <c r="H164" s="117"/>
    </row>
    <row r="165" spans="1:8" s="99" customFormat="1" ht="18.75" customHeight="1" x14ac:dyDescent="0.3">
      <c r="A165" s="255" t="s">
        <v>30</v>
      </c>
      <c r="B165" s="145" t="s">
        <v>449</v>
      </c>
      <c r="C165" s="113"/>
      <c r="D165" s="114">
        <v>63733.7</v>
      </c>
      <c r="E165" s="137">
        <f>6653.33795-70387.06508</f>
        <v>-63733.727129999999</v>
      </c>
      <c r="F165" s="137">
        <f>D165+E165</f>
        <v>-2.7130000002216548E-2</v>
      </c>
      <c r="H165" s="117"/>
    </row>
    <row r="166" spans="1:8" s="99" customFormat="1" ht="18.75" customHeight="1" x14ac:dyDescent="0.3">
      <c r="A166" s="256"/>
      <c r="B166" s="145" t="s">
        <v>450</v>
      </c>
      <c r="C166" s="113"/>
      <c r="D166" s="114">
        <v>67410.399999999994</v>
      </c>
      <c r="E166" s="137">
        <f>37543.16074-104953.5869</f>
        <v>-67410.426160000003</v>
      </c>
      <c r="F166" s="137">
        <f>D166+E166</f>
        <v>-2.6160000008530915E-2</v>
      </c>
      <c r="H166" s="117"/>
    </row>
    <row r="167" spans="1:8" s="99" customFormat="1" ht="18.75" customHeight="1" x14ac:dyDescent="0.3">
      <c r="A167" s="256"/>
      <c r="B167" s="145" t="s">
        <v>501</v>
      </c>
      <c r="C167" s="113"/>
      <c r="D167" s="114">
        <v>0</v>
      </c>
      <c r="E167" s="137">
        <v>70387.037949999998</v>
      </c>
      <c r="F167" s="137">
        <f t="shared" ref="F167:F168" si="10">D167+E167</f>
        <v>70387.037949999998</v>
      </c>
      <c r="H167" s="117"/>
    </row>
    <row r="168" spans="1:8" s="99" customFormat="1" ht="18.75" customHeight="1" x14ac:dyDescent="0.3">
      <c r="A168" s="256"/>
      <c r="B168" s="145" t="s">
        <v>502</v>
      </c>
      <c r="C168" s="113"/>
      <c r="D168" s="114">
        <v>0</v>
      </c>
      <c r="E168" s="137">
        <v>104953.56073999999</v>
      </c>
      <c r="F168" s="137">
        <f t="shared" si="10"/>
        <v>104953.56073999999</v>
      </c>
      <c r="H168" s="117"/>
    </row>
    <row r="169" spans="1:8" s="99" customFormat="1" ht="18.75" customHeight="1" x14ac:dyDescent="0.3">
      <c r="A169" s="256"/>
      <c r="B169" s="145" t="s">
        <v>503</v>
      </c>
      <c r="C169" s="113"/>
      <c r="D169" s="114">
        <v>2106.9000700000001</v>
      </c>
      <c r="E169" s="137">
        <v>-2106.9000700000001</v>
      </c>
      <c r="F169" s="137">
        <f>D169+E169</f>
        <v>0</v>
      </c>
      <c r="H169" s="117"/>
    </row>
    <row r="170" spans="1:8" s="99" customFormat="1" ht="18.75" customHeight="1" x14ac:dyDescent="0.3">
      <c r="A170" s="256"/>
      <c r="B170" s="145" t="s">
        <v>504</v>
      </c>
      <c r="C170" s="113"/>
      <c r="D170" s="114">
        <v>2228.4438399999999</v>
      </c>
      <c r="E170" s="137">
        <v>-2228.4438399999999</v>
      </c>
      <c r="F170" s="137">
        <f>D170+E170</f>
        <v>0</v>
      </c>
      <c r="H170" s="117"/>
    </row>
    <row r="171" spans="1:8" s="99" customFormat="1" ht="18.75" customHeight="1" x14ac:dyDescent="0.3">
      <c r="A171" s="256"/>
      <c r="B171" s="145" t="s">
        <v>505</v>
      </c>
      <c r="C171" s="113"/>
      <c r="D171" s="114">
        <v>0</v>
      </c>
      <c r="E171" s="137">
        <v>2106.9000700000001</v>
      </c>
      <c r="F171" s="137">
        <f>D171+E171</f>
        <v>2106.9000700000001</v>
      </c>
      <c r="H171" s="117"/>
    </row>
    <row r="172" spans="1:8" s="99" customFormat="1" ht="18.75" customHeight="1" x14ac:dyDescent="0.3">
      <c r="A172" s="257"/>
      <c r="B172" s="145" t="s">
        <v>506</v>
      </c>
      <c r="C172" s="113"/>
      <c r="D172" s="114">
        <v>0</v>
      </c>
      <c r="E172" s="137">
        <v>2228.4438399999999</v>
      </c>
      <c r="F172" s="137">
        <f>D172+E172</f>
        <v>2228.4438399999999</v>
      </c>
      <c r="H172" s="117"/>
    </row>
    <row r="173" spans="1:8" s="99" customFormat="1" ht="18.75" customHeight="1" x14ac:dyDescent="0.3">
      <c r="A173" s="164"/>
      <c r="B173" s="252" t="s">
        <v>500</v>
      </c>
      <c r="C173" s="253"/>
      <c r="D173" s="253"/>
      <c r="E173" s="253"/>
      <c r="F173" s="254"/>
      <c r="H173" s="117"/>
    </row>
    <row r="174" spans="1:8" s="99" customFormat="1" ht="18.75" customHeight="1" x14ac:dyDescent="0.3">
      <c r="A174" s="163"/>
      <c r="B174" s="145" t="s">
        <v>503</v>
      </c>
      <c r="C174" s="113"/>
      <c r="D174" s="114">
        <v>100785.364</v>
      </c>
      <c r="E174" s="137">
        <v>-100785.364</v>
      </c>
      <c r="F174" s="137">
        <f>D174+E174</f>
        <v>0</v>
      </c>
      <c r="H174" s="117"/>
    </row>
    <row r="175" spans="1:8" s="99" customFormat="1" ht="18.75" customHeight="1" x14ac:dyDescent="0.3">
      <c r="A175" s="255" t="s">
        <v>30</v>
      </c>
      <c r="B175" s="145" t="s">
        <v>501</v>
      </c>
      <c r="C175" s="113"/>
      <c r="D175" s="114">
        <v>0</v>
      </c>
      <c r="E175" s="137">
        <v>72661.518339999995</v>
      </c>
      <c r="F175" s="137">
        <f>D175+E175</f>
        <v>72661.518339999995</v>
      </c>
      <c r="H175" s="117"/>
    </row>
    <row r="176" spans="1:8" s="99" customFormat="1" ht="18.75" customHeight="1" x14ac:dyDescent="0.3">
      <c r="A176" s="257"/>
      <c r="B176" s="145" t="s">
        <v>502</v>
      </c>
      <c r="C176" s="113"/>
      <c r="D176" s="114">
        <v>0</v>
      </c>
      <c r="E176" s="137">
        <v>67711.68806</v>
      </c>
      <c r="F176" s="137">
        <f>D176+E176</f>
        <v>67711.68806</v>
      </c>
      <c r="H176" s="117"/>
    </row>
    <row r="177" spans="1:8" s="99" customFormat="1" ht="18.75" customHeight="1" x14ac:dyDescent="0.3">
      <c r="A177" s="164"/>
      <c r="B177" s="145" t="s">
        <v>505</v>
      </c>
      <c r="C177" s="113"/>
      <c r="D177" s="114">
        <v>0</v>
      </c>
      <c r="E177" s="137">
        <v>13576.027260000001</v>
      </c>
      <c r="F177" s="137">
        <f>D177+E177</f>
        <v>13576.027260000001</v>
      </c>
      <c r="H177" s="117"/>
    </row>
    <row r="178" spans="1:8" s="99" customFormat="1" ht="18.75" customHeight="1" x14ac:dyDescent="0.3">
      <c r="A178" s="164"/>
      <c r="B178" s="145" t="s">
        <v>506</v>
      </c>
      <c r="C178" s="113"/>
      <c r="D178" s="114">
        <v>0</v>
      </c>
      <c r="E178" s="137">
        <v>13161.726339999999</v>
      </c>
      <c r="F178" s="137">
        <f>D178+E178</f>
        <v>13161.726339999999</v>
      </c>
      <c r="H178" s="117"/>
    </row>
    <row r="179" spans="1:8" ht="22.5" customHeight="1" x14ac:dyDescent="0.35">
      <c r="A179" s="97" t="s">
        <v>6</v>
      </c>
      <c r="B179" s="263"/>
      <c r="C179" s="263"/>
      <c r="D179" s="100"/>
      <c r="E179" s="101">
        <f>SUM(E107:E163)</f>
        <v>18613.259460000001</v>
      </c>
      <c r="F179" s="100"/>
      <c r="G179" s="102"/>
      <c r="H179" s="117"/>
    </row>
    <row r="180" spans="1:8" ht="33" customHeight="1" x14ac:dyDescent="0.3">
      <c r="A180" s="262" t="s">
        <v>270</v>
      </c>
      <c r="B180" s="262"/>
      <c r="C180" s="262"/>
      <c r="D180" s="262"/>
      <c r="E180" s="262"/>
      <c r="F180" s="262"/>
    </row>
    <row r="181" spans="1:8" ht="27.75" customHeight="1" x14ac:dyDescent="0.3">
      <c r="A181" s="244" t="s">
        <v>244</v>
      </c>
      <c r="B181" s="244"/>
      <c r="C181" s="244"/>
      <c r="D181" s="244"/>
      <c r="E181" s="244"/>
      <c r="F181" s="244"/>
    </row>
    <row r="182" spans="1:8" ht="169.5" customHeight="1" x14ac:dyDescent="0.3">
      <c r="A182" s="243" t="s">
        <v>553</v>
      </c>
      <c r="B182" s="244"/>
      <c r="C182" s="244"/>
      <c r="D182" s="244"/>
      <c r="E182" s="244"/>
      <c r="F182" s="244"/>
    </row>
    <row r="183" spans="1:8" ht="42.75" customHeight="1" x14ac:dyDescent="0.3">
      <c r="A183" s="243" t="s">
        <v>572</v>
      </c>
      <c r="B183" s="244"/>
      <c r="C183" s="244"/>
      <c r="D183" s="244"/>
      <c r="E183" s="244"/>
      <c r="F183" s="244"/>
    </row>
    <row r="184" spans="1:8" ht="43.5" customHeight="1" x14ac:dyDescent="0.3">
      <c r="A184" s="243" t="s">
        <v>573</v>
      </c>
      <c r="B184" s="244"/>
      <c r="C184" s="244"/>
      <c r="D184" s="244"/>
      <c r="E184" s="244"/>
      <c r="F184" s="244"/>
    </row>
    <row r="185" spans="1:8" ht="94.5" customHeight="1" x14ac:dyDescent="0.3">
      <c r="A185" s="232" t="s">
        <v>528</v>
      </c>
      <c r="B185" s="232"/>
      <c r="C185" s="232"/>
      <c r="D185" s="232"/>
      <c r="E185" s="232"/>
      <c r="F185" s="232"/>
    </row>
    <row r="186" spans="1:8" ht="109.5" customHeight="1" x14ac:dyDescent="0.3">
      <c r="A186" s="232" t="s">
        <v>530</v>
      </c>
      <c r="B186" s="232"/>
      <c r="C186" s="232"/>
      <c r="D186" s="232"/>
      <c r="E186" s="232"/>
      <c r="F186" s="232"/>
    </row>
    <row r="187" spans="1:8" ht="147" customHeight="1" x14ac:dyDescent="0.3">
      <c r="A187" s="232" t="s">
        <v>538</v>
      </c>
      <c r="B187" s="232"/>
      <c r="C187" s="232"/>
      <c r="D187" s="232"/>
      <c r="E187" s="232"/>
      <c r="F187" s="232"/>
    </row>
    <row r="188" spans="1:8" ht="153.75" customHeight="1" x14ac:dyDescent="0.3">
      <c r="A188" s="232" t="s">
        <v>529</v>
      </c>
      <c r="B188" s="232"/>
      <c r="C188" s="232"/>
      <c r="D188" s="232"/>
      <c r="E188" s="232"/>
      <c r="F188" s="232"/>
    </row>
    <row r="189" spans="1:8" ht="117" customHeight="1" x14ac:dyDescent="0.3">
      <c r="A189" s="232" t="s">
        <v>536</v>
      </c>
      <c r="B189" s="232"/>
      <c r="C189" s="232"/>
      <c r="D189" s="232"/>
      <c r="E189" s="232"/>
      <c r="F189" s="232"/>
    </row>
    <row r="190" spans="1:8" ht="110.25" customHeight="1" x14ac:dyDescent="0.3">
      <c r="A190" s="232" t="s">
        <v>571</v>
      </c>
      <c r="B190" s="232"/>
      <c r="C190" s="232"/>
      <c r="D190" s="232"/>
      <c r="E190" s="232"/>
      <c r="F190" s="232"/>
    </row>
    <row r="191" spans="1:8" ht="75.75" customHeight="1" x14ac:dyDescent="0.3">
      <c r="A191" s="232" t="s">
        <v>580</v>
      </c>
      <c r="B191" s="232"/>
      <c r="C191" s="232"/>
      <c r="D191" s="232"/>
      <c r="E191" s="232"/>
      <c r="F191" s="232"/>
    </row>
    <row r="192" spans="1:8" ht="94.5" customHeight="1" x14ac:dyDescent="0.3">
      <c r="A192" s="232" t="s">
        <v>579</v>
      </c>
      <c r="B192" s="232"/>
      <c r="C192" s="232"/>
      <c r="D192" s="232"/>
      <c r="E192" s="232"/>
      <c r="F192" s="232"/>
    </row>
    <row r="193" spans="1:8" ht="205.5" customHeight="1" x14ac:dyDescent="0.3">
      <c r="A193" s="232" t="s">
        <v>533</v>
      </c>
      <c r="B193" s="232"/>
      <c r="C193" s="232"/>
      <c r="D193" s="232"/>
      <c r="E193" s="232"/>
      <c r="F193" s="232"/>
    </row>
    <row r="194" spans="1:8" ht="43.5" customHeight="1" x14ac:dyDescent="0.3">
      <c r="A194" s="232" t="s">
        <v>405</v>
      </c>
      <c r="B194" s="232"/>
      <c r="C194" s="232"/>
      <c r="D194" s="232"/>
      <c r="E194" s="232"/>
      <c r="F194" s="232"/>
    </row>
    <row r="195" spans="1:8" ht="76.5" customHeight="1" x14ac:dyDescent="0.3">
      <c r="A195" s="232" t="s">
        <v>537</v>
      </c>
      <c r="B195" s="232"/>
      <c r="C195" s="232"/>
      <c r="D195" s="232"/>
      <c r="E195" s="232"/>
      <c r="F195" s="232"/>
    </row>
    <row r="196" spans="1:8" ht="157.5" customHeight="1" x14ac:dyDescent="0.3">
      <c r="A196" s="232" t="s">
        <v>560</v>
      </c>
      <c r="B196" s="232"/>
      <c r="C196" s="232"/>
      <c r="D196" s="232"/>
      <c r="E196" s="232"/>
      <c r="F196" s="232"/>
    </row>
    <row r="197" spans="1:8" s="90" customFormat="1" ht="84.75" customHeight="1" x14ac:dyDescent="0.3">
      <c r="A197" s="244" t="s">
        <v>443</v>
      </c>
      <c r="B197" s="244"/>
      <c r="C197" s="244"/>
      <c r="D197" s="244"/>
      <c r="E197" s="244"/>
      <c r="F197" s="244"/>
      <c r="H197" s="87"/>
    </row>
    <row r="198" spans="1:8" s="90" customFormat="1" ht="222.75" customHeight="1" x14ac:dyDescent="0.3">
      <c r="A198" s="243" t="s">
        <v>563</v>
      </c>
      <c r="B198" s="244"/>
      <c r="C198" s="244"/>
      <c r="D198" s="244"/>
      <c r="E198" s="244"/>
      <c r="F198" s="244"/>
      <c r="H198" s="87"/>
    </row>
    <row r="199" spans="1:8" s="90" customFormat="1" ht="118.5" customHeight="1" x14ac:dyDescent="0.3">
      <c r="A199" s="243" t="s">
        <v>479</v>
      </c>
      <c r="B199" s="244"/>
      <c r="C199" s="244"/>
      <c r="D199" s="244"/>
      <c r="E199" s="244"/>
      <c r="F199" s="244"/>
      <c r="H199" s="87"/>
    </row>
    <row r="200" spans="1:8" s="90" customFormat="1" ht="54.75" customHeight="1" x14ac:dyDescent="0.3">
      <c r="A200" s="232" t="s">
        <v>512</v>
      </c>
      <c r="B200" s="232"/>
      <c r="C200" s="232"/>
      <c r="D200" s="232"/>
      <c r="E200" s="232"/>
      <c r="F200" s="232"/>
      <c r="H200" s="87"/>
    </row>
    <row r="201" spans="1:8" s="90" customFormat="1" ht="78" customHeight="1" x14ac:dyDescent="0.3">
      <c r="A201" s="232" t="s">
        <v>444</v>
      </c>
      <c r="B201" s="232"/>
      <c r="C201" s="232"/>
      <c r="D201" s="232"/>
      <c r="E201" s="232"/>
      <c r="F201" s="232"/>
      <c r="H201" s="87"/>
    </row>
    <row r="202" spans="1:8" s="90" customFormat="1" ht="45" customHeight="1" x14ac:dyDescent="0.3">
      <c r="A202" s="232" t="s">
        <v>447</v>
      </c>
      <c r="B202" s="232"/>
      <c r="C202" s="232"/>
      <c r="D202" s="232"/>
      <c r="E202" s="232"/>
      <c r="F202" s="232"/>
      <c r="H202" s="87"/>
    </row>
    <row r="203" spans="1:8" ht="41.25" customHeight="1" x14ac:dyDescent="0.3">
      <c r="A203" s="243" t="s">
        <v>489</v>
      </c>
      <c r="B203" s="244"/>
      <c r="C203" s="244"/>
      <c r="D203" s="244"/>
      <c r="E203" s="244"/>
      <c r="F203" s="244"/>
    </row>
    <row r="204" spans="1:8" s="90" customFormat="1" ht="43.5" customHeight="1" x14ac:dyDescent="0.3">
      <c r="A204" s="232" t="s">
        <v>452</v>
      </c>
      <c r="B204" s="232"/>
      <c r="C204" s="232"/>
      <c r="D204" s="232"/>
      <c r="E204" s="232"/>
      <c r="F204" s="232"/>
      <c r="H204" s="87"/>
    </row>
    <row r="205" spans="1:8" ht="24.75" customHeight="1" x14ac:dyDescent="0.3">
      <c r="A205" s="158" t="s">
        <v>31</v>
      </c>
      <c r="B205" s="160"/>
      <c r="C205" s="160"/>
      <c r="D205" s="160"/>
      <c r="E205" s="160"/>
      <c r="F205" s="160"/>
    </row>
    <row r="206" spans="1:8" ht="39" customHeight="1" x14ac:dyDescent="0.3">
      <c r="A206" s="243" t="s">
        <v>574</v>
      </c>
      <c r="B206" s="244"/>
      <c r="C206" s="244"/>
      <c r="D206" s="244"/>
      <c r="E206" s="244"/>
      <c r="F206" s="160"/>
    </row>
    <row r="207" spans="1:8" ht="39" customHeight="1" x14ac:dyDescent="0.3">
      <c r="A207" s="243" t="s">
        <v>454</v>
      </c>
      <c r="B207" s="244"/>
      <c r="C207" s="244"/>
      <c r="D207" s="244"/>
      <c r="E207" s="244"/>
      <c r="F207" s="160"/>
    </row>
    <row r="208" spans="1:8" ht="57" customHeight="1" x14ac:dyDescent="0.3">
      <c r="A208" s="243" t="s">
        <v>562</v>
      </c>
      <c r="B208" s="243"/>
      <c r="C208" s="243"/>
      <c r="D208" s="243"/>
      <c r="E208" s="243"/>
      <c r="F208" s="160"/>
    </row>
    <row r="209" spans="1:6" ht="36" customHeight="1" x14ac:dyDescent="0.3">
      <c r="A209" s="232" t="s">
        <v>569</v>
      </c>
      <c r="B209" s="232"/>
      <c r="C209" s="232"/>
      <c r="D209" s="232"/>
      <c r="E209" s="232"/>
      <c r="F209" s="232"/>
    </row>
    <row r="210" spans="1:6" ht="39.75" customHeight="1" x14ac:dyDescent="0.3">
      <c r="A210" s="232" t="s">
        <v>481</v>
      </c>
      <c r="B210" s="232"/>
      <c r="C210" s="232"/>
      <c r="D210" s="232"/>
      <c r="E210" s="232"/>
      <c r="F210" s="232"/>
    </row>
    <row r="211" spans="1:6" ht="72" customHeight="1" x14ac:dyDescent="0.3">
      <c r="A211" s="243" t="s">
        <v>532</v>
      </c>
      <c r="B211" s="244"/>
      <c r="C211" s="244"/>
      <c r="D211" s="244"/>
      <c r="E211" s="244"/>
      <c r="F211" s="244"/>
    </row>
    <row r="212" spans="1:6" ht="78" customHeight="1" x14ac:dyDescent="0.3">
      <c r="A212" s="232" t="s">
        <v>483</v>
      </c>
      <c r="B212" s="244"/>
      <c r="C212" s="244"/>
      <c r="D212" s="244"/>
      <c r="E212" s="244"/>
      <c r="F212" s="244"/>
    </row>
    <row r="213" spans="1:6" ht="243" customHeight="1" x14ac:dyDescent="0.3">
      <c r="A213" s="232" t="s">
        <v>561</v>
      </c>
      <c r="B213" s="232"/>
      <c r="C213" s="232"/>
      <c r="D213" s="232"/>
      <c r="E213" s="232"/>
      <c r="F213" s="232"/>
    </row>
    <row r="214" spans="1:6" ht="57.75" customHeight="1" x14ac:dyDescent="0.3">
      <c r="A214" s="232" t="s">
        <v>535</v>
      </c>
      <c r="B214" s="232"/>
      <c r="C214" s="232"/>
      <c r="D214" s="232"/>
      <c r="E214" s="232"/>
      <c r="F214" s="232"/>
    </row>
    <row r="215" spans="1:6" ht="18.75" x14ac:dyDescent="0.25">
      <c r="A215" s="167" t="s">
        <v>1</v>
      </c>
      <c r="B215" s="275" t="s">
        <v>2</v>
      </c>
      <c r="C215" s="260"/>
      <c r="D215" s="165" t="s">
        <v>3</v>
      </c>
      <c r="E215" s="165" t="s">
        <v>4</v>
      </c>
      <c r="F215" s="165" t="s">
        <v>5</v>
      </c>
    </row>
    <row r="216" spans="1:6" ht="18.75" x14ac:dyDescent="0.3">
      <c r="A216" s="237" t="s">
        <v>30</v>
      </c>
      <c r="B216" s="142" t="s">
        <v>474</v>
      </c>
      <c r="C216" s="141"/>
      <c r="D216" s="143">
        <v>3221.7</v>
      </c>
      <c r="E216" s="143">
        <f>-365.9-168.3</f>
        <v>-534.20000000000005</v>
      </c>
      <c r="F216" s="114">
        <f t="shared" ref="F216:F217" si="11">SUM(D216:E216)</f>
        <v>2687.5</v>
      </c>
    </row>
    <row r="217" spans="1:6" ht="18.75" x14ac:dyDescent="0.3">
      <c r="A217" s="238"/>
      <c r="B217" s="142" t="s">
        <v>441</v>
      </c>
      <c r="C217" s="141"/>
      <c r="D217" s="143">
        <v>44878</v>
      </c>
      <c r="E217" s="144">
        <f>52.1+1207.1+94</f>
        <v>1353.1999999999998</v>
      </c>
      <c r="F217" s="114">
        <f t="shared" si="11"/>
        <v>46231.199999999997</v>
      </c>
    </row>
    <row r="218" spans="1:6" ht="18.75" x14ac:dyDescent="0.3">
      <c r="A218" s="238"/>
      <c r="B218" s="142" t="s">
        <v>416</v>
      </c>
      <c r="C218" s="141"/>
      <c r="D218" s="143">
        <v>20811.400000000001</v>
      </c>
      <c r="E218" s="144">
        <f>-100-200-120.1-245.9+1058.5+0.2586</f>
        <v>392.7586</v>
      </c>
      <c r="F218" s="114">
        <f t="shared" ref="F218:F225" si="12">SUM(D218:E218)</f>
        <v>21204.158600000002</v>
      </c>
    </row>
    <row r="219" spans="1:6" ht="18.75" x14ac:dyDescent="0.3">
      <c r="A219" s="238"/>
      <c r="B219" s="142" t="s">
        <v>554</v>
      </c>
      <c r="C219" s="141"/>
      <c r="D219" s="143">
        <v>313.60000000000002</v>
      </c>
      <c r="E219" s="144">
        <v>-33.799999999999997</v>
      </c>
      <c r="F219" s="114">
        <f t="shared" si="12"/>
        <v>279.8</v>
      </c>
    </row>
    <row r="220" spans="1:6" ht="18.75" x14ac:dyDescent="0.3">
      <c r="A220" s="238"/>
      <c r="B220" s="142" t="s">
        <v>442</v>
      </c>
      <c r="C220" s="141"/>
      <c r="D220" s="143">
        <v>5475.8</v>
      </c>
      <c r="E220" s="144">
        <f>-52.1-55.3-7.9+367.5</f>
        <v>252.2</v>
      </c>
      <c r="F220" s="114">
        <f t="shared" ref="F220" si="13">SUM(D220:E220)</f>
        <v>5728</v>
      </c>
    </row>
    <row r="221" spans="1:6" ht="18.75" x14ac:dyDescent="0.3">
      <c r="A221" s="238"/>
      <c r="B221" s="142" t="s">
        <v>417</v>
      </c>
      <c r="C221" s="141"/>
      <c r="D221" s="143">
        <v>639.70000000000005</v>
      </c>
      <c r="E221" s="144">
        <f>100+0.1</f>
        <v>100.1</v>
      </c>
      <c r="F221" s="114">
        <f t="shared" si="12"/>
        <v>739.80000000000007</v>
      </c>
    </row>
    <row r="222" spans="1:6" ht="18.75" x14ac:dyDescent="0.3">
      <c r="A222" s="238"/>
      <c r="B222" s="142" t="s">
        <v>531</v>
      </c>
      <c r="C222" s="141"/>
      <c r="D222" s="143">
        <v>300</v>
      </c>
      <c r="E222" s="144">
        <f>-220.9-42.8</f>
        <v>-263.7</v>
      </c>
      <c r="F222" s="114">
        <f t="shared" si="12"/>
        <v>36.300000000000011</v>
      </c>
    </row>
    <row r="223" spans="1:6" ht="18.75" x14ac:dyDescent="0.3">
      <c r="A223" s="238"/>
      <c r="B223" s="142" t="s">
        <v>475</v>
      </c>
      <c r="C223" s="141"/>
      <c r="D223" s="143">
        <v>287.01001000000002</v>
      </c>
      <c r="E223" s="144">
        <v>-287.01001000000002</v>
      </c>
      <c r="F223" s="114">
        <f t="shared" si="12"/>
        <v>0</v>
      </c>
    </row>
    <row r="224" spans="1:6" ht="18.75" x14ac:dyDescent="0.3">
      <c r="A224" s="238"/>
      <c r="B224" s="142" t="s">
        <v>477</v>
      </c>
      <c r="C224" s="141"/>
      <c r="D224" s="143">
        <v>6102.4</v>
      </c>
      <c r="E224" s="144">
        <v>-24.4</v>
      </c>
      <c r="F224" s="114">
        <f t="shared" si="12"/>
        <v>6078</v>
      </c>
    </row>
    <row r="225" spans="1:8" ht="18.75" x14ac:dyDescent="0.3">
      <c r="A225" s="238"/>
      <c r="B225" s="142" t="s">
        <v>409</v>
      </c>
      <c r="C225" s="141"/>
      <c r="D225" s="143">
        <v>1174.5</v>
      </c>
      <c r="E225" s="144">
        <f>0.162+522+0.005</f>
        <v>522.16700000000003</v>
      </c>
      <c r="F225" s="114">
        <f t="shared" si="12"/>
        <v>1696.6669999999999</v>
      </c>
    </row>
    <row r="226" spans="1:8" ht="18.75" x14ac:dyDescent="0.3">
      <c r="A226" s="238"/>
      <c r="B226" s="142" t="s">
        <v>412</v>
      </c>
      <c r="C226" s="141"/>
      <c r="D226" s="143">
        <v>91.6</v>
      </c>
      <c r="E226" s="143">
        <v>-12.6</v>
      </c>
      <c r="F226" s="114">
        <f t="shared" ref="F226:F370" si="14">SUM(D226:E226)</f>
        <v>79</v>
      </c>
    </row>
    <row r="227" spans="1:8" ht="18.75" x14ac:dyDescent="0.3">
      <c r="A227" s="238"/>
      <c r="B227" s="142" t="s">
        <v>413</v>
      </c>
      <c r="C227" s="141"/>
      <c r="D227" s="143">
        <v>21636.1</v>
      </c>
      <c r="E227" s="143">
        <f>12.6+931.3</f>
        <v>943.9</v>
      </c>
      <c r="F227" s="114">
        <f t="shared" si="14"/>
        <v>22580</v>
      </c>
    </row>
    <row r="228" spans="1:8" ht="18.75" x14ac:dyDescent="0.3">
      <c r="A228" s="238"/>
      <c r="B228" s="142" t="s">
        <v>414</v>
      </c>
      <c r="C228" s="141"/>
      <c r="D228" s="143">
        <v>966</v>
      </c>
      <c r="E228" s="143">
        <v>-0.5</v>
      </c>
      <c r="F228" s="114">
        <f t="shared" si="14"/>
        <v>965.5</v>
      </c>
    </row>
    <row r="229" spans="1:8" ht="18.75" x14ac:dyDescent="0.3">
      <c r="A229" s="238"/>
      <c r="B229" s="142" t="s">
        <v>480</v>
      </c>
      <c r="C229" s="141"/>
      <c r="D229" s="143">
        <v>2991.8</v>
      </c>
      <c r="E229" s="143">
        <v>-215.7</v>
      </c>
      <c r="F229" s="114">
        <f t="shared" si="14"/>
        <v>2776.1000000000004</v>
      </c>
    </row>
    <row r="230" spans="1:8" ht="18.75" x14ac:dyDescent="0.3">
      <c r="A230" s="238"/>
      <c r="B230" s="142" t="s">
        <v>418</v>
      </c>
      <c r="C230" s="141"/>
      <c r="D230" s="143">
        <v>0</v>
      </c>
      <c r="E230" s="144">
        <f>1137.99637+6.265+1.385</f>
        <v>1145.6463700000002</v>
      </c>
      <c r="F230" s="114">
        <f t="shared" si="14"/>
        <v>1145.6463700000002</v>
      </c>
    </row>
    <row r="231" spans="1:8" ht="18.75" x14ac:dyDescent="0.3">
      <c r="A231" s="238"/>
      <c r="B231" s="142" t="s">
        <v>419</v>
      </c>
      <c r="C231" s="141"/>
      <c r="D231" s="143">
        <v>3239.1</v>
      </c>
      <c r="E231" s="144">
        <f>-1532.09437+62.8-104.426+2.8-0.7-6.265-1.385-0.53673+823</f>
        <v>-756.80710000000022</v>
      </c>
      <c r="F231" s="114">
        <f t="shared" si="14"/>
        <v>2482.2928999999995</v>
      </c>
    </row>
    <row r="232" spans="1:8" ht="18.75" x14ac:dyDescent="0.3">
      <c r="A232" s="238"/>
      <c r="B232" s="142" t="s">
        <v>420</v>
      </c>
      <c r="C232" s="141"/>
      <c r="D232" s="143">
        <v>0</v>
      </c>
      <c r="E232" s="143">
        <v>200</v>
      </c>
      <c r="F232" s="114">
        <f t="shared" si="14"/>
        <v>200</v>
      </c>
    </row>
    <row r="233" spans="1:8" ht="18.75" x14ac:dyDescent="0.3">
      <c r="A233" s="238"/>
      <c r="B233" s="142" t="s">
        <v>458</v>
      </c>
      <c r="C233" s="141"/>
      <c r="D233" s="143">
        <v>1109.5</v>
      </c>
      <c r="E233" s="144">
        <f>-0.3-919.79376-0.09709</f>
        <v>-920.19084999999995</v>
      </c>
      <c r="F233" s="114">
        <f t="shared" si="14"/>
        <v>189.30915000000005</v>
      </c>
    </row>
    <row r="234" spans="1:8" ht="18.75" x14ac:dyDescent="0.3">
      <c r="A234" s="238"/>
      <c r="B234" s="142" t="s">
        <v>491</v>
      </c>
      <c r="C234" s="141"/>
      <c r="D234" s="143">
        <v>8509.5</v>
      </c>
      <c r="E234" s="143">
        <f>40.8+230.7</f>
        <v>271.5</v>
      </c>
      <c r="F234" s="114">
        <f t="shared" si="14"/>
        <v>8781</v>
      </c>
    </row>
    <row r="235" spans="1:8" ht="18.75" customHeight="1" x14ac:dyDescent="0.3">
      <c r="A235" s="238"/>
      <c r="B235" s="249" t="s">
        <v>336</v>
      </c>
      <c r="C235" s="250"/>
      <c r="D235" s="118">
        <v>228.8</v>
      </c>
      <c r="E235" s="120">
        <v>-228.8</v>
      </c>
      <c r="F235" s="114">
        <f t="shared" si="14"/>
        <v>0</v>
      </c>
      <c r="H235" s="79"/>
    </row>
    <row r="236" spans="1:8" ht="18.75" customHeight="1" x14ac:dyDescent="0.3">
      <c r="A236" s="238"/>
      <c r="B236" s="249" t="s">
        <v>337</v>
      </c>
      <c r="C236" s="250"/>
      <c r="D236" s="118">
        <v>0</v>
      </c>
      <c r="E236" s="120">
        <v>228.8</v>
      </c>
      <c r="F236" s="114">
        <f t="shared" si="14"/>
        <v>228.8</v>
      </c>
      <c r="H236" s="79"/>
    </row>
    <row r="237" spans="1:8" ht="18.75" customHeight="1" x14ac:dyDescent="0.3">
      <c r="A237" s="238"/>
      <c r="B237" s="140" t="s">
        <v>406</v>
      </c>
      <c r="C237" s="161"/>
      <c r="D237" s="118">
        <v>4543</v>
      </c>
      <c r="E237" s="120">
        <v>-1417.8962300000001</v>
      </c>
      <c r="F237" s="119">
        <f t="shared" si="14"/>
        <v>3125.1037699999997</v>
      </c>
      <c r="H237" s="79"/>
    </row>
    <row r="238" spans="1:8" ht="18.75" customHeight="1" x14ac:dyDescent="0.3">
      <c r="A238" s="238"/>
      <c r="B238" s="140" t="s">
        <v>490</v>
      </c>
      <c r="C238" s="161"/>
      <c r="D238" s="118">
        <v>6606.2</v>
      </c>
      <c r="E238" s="120">
        <v>-177.10499999999999</v>
      </c>
      <c r="F238" s="119">
        <f t="shared" si="14"/>
        <v>6429.0950000000003</v>
      </c>
      <c r="H238" s="79"/>
    </row>
    <row r="239" spans="1:8" ht="18.75" customHeight="1" x14ac:dyDescent="0.3">
      <c r="A239" s="238"/>
      <c r="B239" s="140" t="s">
        <v>410</v>
      </c>
      <c r="C239" s="161"/>
      <c r="D239" s="118">
        <v>132.19999999999999</v>
      </c>
      <c r="E239" s="120">
        <v>-0.104</v>
      </c>
      <c r="F239" s="119">
        <f t="shared" si="14"/>
        <v>132.09599999999998</v>
      </c>
      <c r="H239" s="79"/>
    </row>
    <row r="240" spans="1:8" ht="18.75" customHeight="1" x14ac:dyDescent="0.3">
      <c r="A240" s="238"/>
      <c r="B240" s="140" t="s">
        <v>411</v>
      </c>
      <c r="C240" s="161"/>
      <c r="D240" s="118">
        <v>8.6</v>
      </c>
      <c r="E240" s="120">
        <v>-5.8000000000000003E-2</v>
      </c>
      <c r="F240" s="119">
        <f t="shared" si="14"/>
        <v>8.5419999999999998</v>
      </c>
      <c r="H240" s="79"/>
    </row>
    <row r="241" spans="1:8" ht="18.75" customHeight="1" x14ac:dyDescent="0.3">
      <c r="A241" s="238"/>
      <c r="B241" s="140" t="s">
        <v>555</v>
      </c>
      <c r="C241" s="161"/>
      <c r="D241" s="118">
        <v>175.1</v>
      </c>
      <c r="E241" s="120">
        <v>-44.7</v>
      </c>
      <c r="F241" s="119">
        <f t="shared" si="14"/>
        <v>130.39999999999998</v>
      </c>
      <c r="H241" s="79"/>
    </row>
    <row r="242" spans="1:8" ht="18.75" customHeight="1" x14ac:dyDescent="0.3">
      <c r="A242" s="238"/>
      <c r="B242" s="140" t="s">
        <v>556</v>
      </c>
      <c r="C242" s="161"/>
      <c r="D242" s="118">
        <v>15181</v>
      </c>
      <c r="E242" s="120">
        <v>-1601</v>
      </c>
      <c r="F242" s="119">
        <f t="shared" si="14"/>
        <v>13580</v>
      </c>
      <c r="H242" s="79"/>
    </row>
    <row r="243" spans="1:8" ht="18.75" customHeight="1" x14ac:dyDescent="0.3">
      <c r="A243" s="238"/>
      <c r="B243" s="140" t="s">
        <v>557</v>
      </c>
      <c r="C243" s="161"/>
      <c r="D243" s="118">
        <v>952.3</v>
      </c>
      <c r="E243" s="120">
        <v>-150.80000000000001</v>
      </c>
      <c r="F243" s="119">
        <f t="shared" si="14"/>
        <v>801.5</v>
      </c>
      <c r="H243" s="79"/>
    </row>
    <row r="244" spans="1:8" ht="18.75" customHeight="1" x14ac:dyDescent="0.3">
      <c r="A244" s="238"/>
      <c r="B244" s="149" t="s">
        <v>507</v>
      </c>
      <c r="C244" s="161"/>
      <c r="D244" s="118">
        <v>1277</v>
      </c>
      <c r="E244" s="120">
        <v>-646.1</v>
      </c>
      <c r="F244" s="119">
        <f t="shared" si="14"/>
        <v>630.9</v>
      </c>
      <c r="H244" s="79"/>
    </row>
    <row r="245" spans="1:8" ht="18.75" customHeight="1" x14ac:dyDescent="0.3">
      <c r="A245" s="238"/>
      <c r="B245" s="149" t="s">
        <v>508</v>
      </c>
      <c r="C245" s="161"/>
      <c r="D245" s="118">
        <v>1589.9</v>
      </c>
      <c r="E245" s="120">
        <v>-848.1</v>
      </c>
      <c r="F245" s="119">
        <f t="shared" si="14"/>
        <v>741.80000000000007</v>
      </c>
      <c r="H245" s="79"/>
    </row>
    <row r="246" spans="1:8" ht="18.75" x14ac:dyDescent="0.3">
      <c r="A246" s="238"/>
      <c r="B246" s="145" t="s">
        <v>415</v>
      </c>
      <c r="C246" s="141"/>
      <c r="D246" s="143">
        <v>113.6</v>
      </c>
      <c r="E246" s="143">
        <v>-0.6</v>
      </c>
      <c r="F246" s="114">
        <f t="shared" ref="F246:F247" si="15">SUM(D246:E246)</f>
        <v>113</v>
      </c>
    </row>
    <row r="247" spans="1:8" ht="18.75" x14ac:dyDescent="0.3">
      <c r="A247" s="239"/>
      <c r="B247" s="145" t="s">
        <v>539</v>
      </c>
      <c r="C247" s="141"/>
      <c r="D247" s="143">
        <v>1098.4000000000001</v>
      </c>
      <c r="E247" s="143">
        <v>245.9</v>
      </c>
      <c r="F247" s="114">
        <f t="shared" si="15"/>
        <v>1344.3000000000002</v>
      </c>
    </row>
    <row r="248" spans="1:8" ht="18.75" customHeight="1" x14ac:dyDescent="0.3">
      <c r="A248" s="237" t="s">
        <v>421</v>
      </c>
      <c r="B248" s="149" t="s">
        <v>455</v>
      </c>
      <c r="C248" s="149"/>
      <c r="D248" s="118">
        <v>1808</v>
      </c>
      <c r="E248" s="120">
        <v>4.5999999999999996</v>
      </c>
      <c r="F248" s="119">
        <f t="shared" si="14"/>
        <v>1812.6</v>
      </c>
      <c r="H248" s="79"/>
    </row>
    <row r="249" spans="1:8" ht="18.75" customHeight="1" x14ac:dyDescent="0.3">
      <c r="A249" s="238"/>
      <c r="B249" s="149" t="s">
        <v>456</v>
      </c>
      <c r="C249" s="149"/>
      <c r="D249" s="118">
        <v>3010.3</v>
      </c>
      <c r="E249" s="120">
        <v>46.7</v>
      </c>
      <c r="F249" s="119">
        <f t="shared" si="14"/>
        <v>3057</v>
      </c>
      <c r="H249" s="79"/>
    </row>
    <row r="250" spans="1:8" ht="18.75" customHeight="1" x14ac:dyDescent="0.3">
      <c r="A250" s="238"/>
      <c r="B250" s="149" t="s">
        <v>457</v>
      </c>
      <c r="C250" s="149"/>
      <c r="D250" s="118">
        <v>2990.5</v>
      </c>
      <c r="E250" s="120">
        <v>79.8</v>
      </c>
      <c r="F250" s="119">
        <f t="shared" si="14"/>
        <v>3070.3</v>
      </c>
      <c r="H250" s="79"/>
    </row>
    <row r="251" spans="1:8" ht="18.75" customHeight="1" x14ac:dyDescent="0.3">
      <c r="A251" s="238"/>
      <c r="B251" s="145" t="s">
        <v>422</v>
      </c>
      <c r="C251" s="149"/>
      <c r="D251" s="118">
        <v>0</v>
      </c>
      <c r="E251" s="120">
        <f>5.26+2.21</f>
        <v>7.47</v>
      </c>
      <c r="F251" s="119">
        <f t="shared" si="14"/>
        <v>7.47</v>
      </c>
      <c r="H251" s="79"/>
    </row>
    <row r="252" spans="1:8" ht="18.75" customHeight="1" x14ac:dyDescent="0.3">
      <c r="A252" s="239"/>
      <c r="B252" s="145" t="s">
        <v>423</v>
      </c>
      <c r="C252" s="161"/>
      <c r="D252" s="118">
        <v>144.30000000000001</v>
      </c>
      <c r="E252" s="120">
        <f>-5.26-2.21</f>
        <v>-7.47</v>
      </c>
      <c r="F252" s="119">
        <f t="shared" si="14"/>
        <v>136.83000000000001</v>
      </c>
      <c r="H252" s="79"/>
    </row>
    <row r="253" spans="1:8" ht="18.75" x14ac:dyDescent="0.3">
      <c r="A253" s="237" t="s">
        <v>304</v>
      </c>
      <c r="B253" s="115" t="s">
        <v>305</v>
      </c>
      <c r="C253" s="116"/>
      <c r="D253" s="114">
        <v>1714.9</v>
      </c>
      <c r="E253" s="114">
        <f>-2.9+66.3</f>
        <v>63.4</v>
      </c>
      <c r="F253" s="119">
        <f t="shared" ref="F253:F269" si="16">SUM(D253:E253)</f>
        <v>1778.3000000000002</v>
      </c>
      <c r="H253" s="79"/>
    </row>
    <row r="254" spans="1:8" ht="18.75" x14ac:dyDescent="0.3">
      <c r="A254" s="238"/>
      <c r="B254" s="115" t="s">
        <v>448</v>
      </c>
      <c r="C254" s="116"/>
      <c r="D254" s="114">
        <v>459.7</v>
      </c>
      <c r="E254" s="114">
        <v>-2.2999999999999998</v>
      </c>
      <c r="F254" s="119">
        <f t="shared" si="16"/>
        <v>457.4</v>
      </c>
      <c r="H254" s="79"/>
    </row>
    <row r="255" spans="1:8" ht="18.75" x14ac:dyDescent="0.3">
      <c r="A255" s="238"/>
      <c r="B255" s="115" t="s">
        <v>527</v>
      </c>
      <c r="C255" s="116"/>
      <c r="D255" s="114">
        <v>0.4</v>
      </c>
      <c r="E255" s="114">
        <v>-0.4</v>
      </c>
      <c r="F255" s="119">
        <f t="shared" si="16"/>
        <v>0</v>
      </c>
      <c r="H255" s="79"/>
    </row>
    <row r="256" spans="1:8" ht="18.75" x14ac:dyDescent="0.3">
      <c r="A256" s="239"/>
      <c r="B256" s="115" t="s">
        <v>321</v>
      </c>
      <c r="C256" s="116"/>
      <c r="D256" s="114">
        <v>766.3</v>
      </c>
      <c r="E256" s="114">
        <f>2.9+26.1</f>
        <v>29</v>
      </c>
      <c r="F256" s="119">
        <f t="shared" si="16"/>
        <v>795.3</v>
      </c>
      <c r="H256" s="79"/>
    </row>
    <row r="257" spans="1:8" ht="18.75" x14ac:dyDescent="0.3">
      <c r="A257" s="237" t="s">
        <v>34</v>
      </c>
      <c r="B257" s="115" t="s">
        <v>461</v>
      </c>
      <c r="C257" s="116"/>
      <c r="D257" s="114">
        <v>950</v>
      </c>
      <c r="E257" s="114">
        <f>-106.5-144.2</f>
        <v>-250.7</v>
      </c>
      <c r="F257" s="119">
        <f t="shared" si="16"/>
        <v>699.3</v>
      </c>
      <c r="H257" s="79"/>
    </row>
    <row r="258" spans="1:8" ht="18.75" x14ac:dyDescent="0.3">
      <c r="A258" s="238"/>
      <c r="B258" s="115" t="s">
        <v>462</v>
      </c>
      <c r="C258" s="116"/>
      <c r="D258" s="114">
        <v>200</v>
      </c>
      <c r="E258" s="114">
        <v>-12.2</v>
      </c>
      <c r="F258" s="119">
        <f t="shared" si="16"/>
        <v>187.8</v>
      </c>
      <c r="H258" s="79"/>
    </row>
    <row r="259" spans="1:8" ht="18.75" x14ac:dyDescent="0.3">
      <c r="A259" s="238"/>
      <c r="B259" s="115" t="s">
        <v>316</v>
      </c>
      <c r="C259" s="116"/>
      <c r="D259" s="114">
        <v>4027.4</v>
      </c>
      <c r="E259" s="114">
        <f>-3000-917.9</f>
        <v>-3917.9</v>
      </c>
      <c r="F259" s="119">
        <f t="shared" si="16"/>
        <v>109.5</v>
      </c>
      <c r="H259" s="79"/>
    </row>
    <row r="260" spans="1:8" ht="18.75" x14ac:dyDescent="0.3">
      <c r="A260" s="238"/>
      <c r="B260" s="115" t="s">
        <v>463</v>
      </c>
      <c r="C260" s="116"/>
      <c r="D260" s="114">
        <v>5212.8999999999996</v>
      </c>
      <c r="E260" s="114">
        <f>162+83</f>
        <v>245</v>
      </c>
      <c r="F260" s="119">
        <f t="shared" si="16"/>
        <v>5457.9</v>
      </c>
      <c r="H260" s="79"/>
    </row>
    <row r="261" spans="1:8" ht="18.75" x14ac:dyDescent="0.3">
      <c r="A261" s="238"/>
      <c r="B261" s="115" t="s">
        <v>464</v>
      </c>
      <c r="C261" s="116"/>
      <c r="D261" s="114">
        <v>250</v>
      </c>
      <c r="E261" s="114">
        <f>-42.6-195</f>
        <v>-237.6</v>
      </c>
      <c r="F261" s="119">
        <f t="shared" si="16"/>
        <v>12.400000000000006</v>
      </c>
      <c r="H261" s="79"/>
    </row>
    <row r="262" spans="1:8" ht="18.75" x14ac:dyDescent="0.3">
      <c r="A262" s="238"/>
      <c r="B262" s="115" t="s">
        <v>465</v>
      </c>
      <c r="C262" s="116"/>
      <c r="D262" s="114">
        <v>88.3</v>
      </c>
      <c r="E262" s="114">
        <v>-58.3</v>
      </c>
      <c r="F262" s="119">
        <f t="shared" si="16"/>
        <v>30</v>
      </c>
      <c r="H262" s="79"/>
    </row>
    <row r="263" spans="1:8" ht="18.75" x14ac:dyDescent="0.3">
      <c r="A263" s="238"/>
      <c r="B263" s="115" t="s">
        <v>466</v>
      </c>
      <c r="C263" s="116"/>
      <c r="D263" s="114">
        <v>23894</v>
      </c>
      <c r="E263" s="114">
        <v>-50</v>
      </c>
      <c r="F263" s="119">
        <f t="shared" si="16"/>
        <v>23844</v>
      </c>
      <c r="H263" s="79"/>
    </row>
    <row r="264" spans="1:8" ht="18.75" x14ac:dyDescent="0.3">
      <c r="A264" s="238"/>
      <c r="B264" s="115" t="s">
        <v>467</v>
      </c>
      <c r="C264" s="116"/>
      <c r="D264" s="114">
        <v>9791.5</v>
      </c>
      <c r="E264" s="114">
        <f>299.2-122.5+318.7</f>
        <v>495.4</v>
      </c>
      <c r="F264" s="119">
        <f t="shared" si="16"/>
        <v>10286.9</v>
      </c>
      <c r="H264" s="79"/>
    </row>
    <row r="265" spans="1:8" ht="18.75" x14ac:dyDescent="0.3">
      <c r="A265" s="238"/>
      <c r="B265" s="115" t="s">
        <v>468</v>
      </c>
      <c r="C265" s="116"/>
      <c r="D265" s="114">
        <v>1102.4000000000001</v>
      </c>
      <c r="E265" s="114">
        <f>-100.2-6.1</f>
        <v>-106.3</v>
      </c>
      <c r="F265" s="119">
        <f t="shared" si="16"/>
        <v>996.10000000000014</v>
      </c>
      <c r="H265" s="79"/>
    </row>
    <row r="266" spans="1:8" ht="18.75" x14ac:dyDescent="0.3">
      <c r="A266" s="238"/>
      <c r="B266" s="115" t="s">
        <v>469</v>
      </c>
      <c r="C266" s="116"/>
      <c r="D266" s="114">
        <v>73</v>
      </c>
      <c r="E266" s="114">
        <v>-5</v>
      </c>
      <c r="F266" s="119">
        <f t="shared" si="16"/>
        <v>68</v>
      </c>
      <c r="H266" s="79"/>
    </row>
    <row r="267" spans="1:8" ht="18.75" x14ac:dyDescent="0.3">
      <c r="A267" s="238"/>
      <c r="B267" s="115" t="s">
        <v>525</v>
      </c>
      <c r="C267" s="116"/>
      <c r="D267" s="114">
        <v>137</v>
      </c>
      <c r="E267" s="114">
        <v>61.2</v>
      </c>
      <c r="F267" s="119">
        <f t="shared" si="16"/>
        <v>198.2</v>
      </c>
      <c r="H267" s="79"/>
    </row>
    <row r="268" spans="1:8" ht="18.75" x14ac:dyDescent="0.3">
      <c r="A268" s="238"/>
      <c r="B268" s="115" t="s">
        <v>470</v>
      </c>
      <c r="C268" s="116"/>
      <c r="D268" s="114">
        <v>50</v>
      </c>
      <c r="E268" s="114">
        <v>-50</v>
      </c>
      <c r="F268" s="119">
        <f t="shared" si="16"/>
        <v>0</v>
      </c>
      <c r="H268" s="79"/>
    </row>
    <row r="269" spans="1:8" ht="18.75" x14ac:dyDescent="0.3">
      <c r="A269" s="239"/>
      <c r="B269" s="115" t="s">
        <v>471</v>
      </c>
      <c r="C269" s="116"/>
      <c r="D269" s="114">
        <v>2794.8</v>
      </c>
      <c r="E269" s="114">
        <f>-36.4-117.6</f>
        <v>-154</v>
      </c>
      <c r="F269" s="119">
        <f t="shared" si="16"/>
        <v>2640.8</v>
      </c>
      <c r="H269" s="79"/>
    </row>
    <row r="270" spans="1:8" ht="18.75" x14ac:dyDescent="0.3">
      <c r="A270" s="236" t="s">
        <v>8</v>
      </c>
      <c r="B270" s="142" t="s">
        <v>425</v>
      </c>
      <c r="C270" s="116"/>
      <c r="D270" s="114">
        <v>0</v>
      </c>
      <c r="E270" s="114">
        <v>15.117000000000001</v>
      </c>
      <c r="F270" s="119">
        <f t="shared" ref="F270:F272" si="17">SUM(D270:E270)</f>
        <v>15.117000000000001</v>
      </c>
      <c r="H270" s="79"/>
    </row>
    <row r="271" spans="1:8" ht="18.75" x14ac:dyDescent="0.3">
      <c r="A271" s="236"/>
      <c r="B271" s="145" t="s">
        <v>426</v>
      </c>
      <c r="C271" s="116"/>
      <c r="D271" s="114">
        <v>0</v>
      </c>
      <c r="E271" s="114">
        <v>4.883</v>
      </c>
      <c r="F271" s="119">
        <f t="shared" si="17"/>
        <v>4.883</v>
      </c>
      <c r="H271" s="79"/>
    </row>
    <row r="272" spans="1:8" ht="18.75" x14ac:dyDescent="0.3">
      <c r="A272" s="236"/>
      <c r="B272" s="115" t="s">
        <v>326</v>
      </c>
      <c r="C272" s="116"/>
      <c r="D272" s="114">
        <v>264</v>
      </c>
      <c r="E272" s="114">
        <v>-24</v>
      </c>
      <c r="F272" s="119">
        <f t="shared" si="17"/>
        <v>240</v>
      </c>
      <c r="H272" s="79"/>
    </row>
    <row r="273" spans="1:8" ht="18.75" x14ac:dyDescent="0.3">
      <c r="A273" s="236"/>
      <c r="B273" s="115" t="s">
        <v>280</v>
      </c>
      <c r="C273" s="116"/>
      <c r="D273" s="114">
        <f>F111</f>
        <v>29171.5</v>
      </c>
      <c r="E273" s="114">
        <f>25.3+213.61001-0.2+0.1</f>
        <v>238.81001000000001</v>
      </c>
      <c r="F273" s="119">
        <f t="shared" ref="F273:F274" si="18">SUM(D273:E273)</f>
        <v>29410.310010000001</v>
      </c>
      <c r="H273" s="79"/>
    </row>
    <row r="274" spans="1:8" ht="18.75" x14ac:dyDescent="0.3">
      <c r="A274" s="236"/>
      <c r="B274" s="115" t="s">
        <v>281</v>
      </c>
      <c r="C274" s="116"/>
      <c r="D274" s="114">
        <v>12970.1</v>
      </c>
      <c r="E274" s="114">
        <f>24+100.8+3.2+130.4-12.48-109.6-66.6+426.3-111.2-11.3+48.8072-141.1-75.5</f>
        <v>205.72720000000004</v>
      </c>
      <c r="F274" s="119">
        <f t="shared" si="18"/>
        <v>13175.8272</v>
      </c>
      <c r="H274" s="79"/>
    </row>
    <row r="275" spans="1:8" ht="18.75" x14ac:dyDescent="0.3">
      <c r="A275" s="236"/>
      <c r="B275" s="115" t="s">
        <v>253</v>
      </c>
      <c r="C275" s="116"/>
      <c r="D275" s="114">
        <f>F112</f>
        <v>170199</v>
      </c>
      <c r="E275" s="114">
        <f>-2733.7+26.3-25.3-5+13.23072+746.01148-386.1+251.6+12.3+223.6+10.54671-18.3</f>
        <v>-1884.8110899999995</v>
      </c>
      <c r="F275" s="119">
        <f t="shared" si="14"/>
        <v>168314.18891</v>
      </c>
      <c r="H275" s="79"/>
    </row>
    <row r="276" spans="1:8" ht="18.75" x14ac:dyDescent="0.3">
      <c r="A276" s="236"/>
      <c r="B276" s="115" t="s">
        <v>264</v>
      </c>
      <c r="C276" s="116"/>
      <c r="D276" s="114">
        <v>323.8</v>
      </c>
      <c r="E276" s="114">
        <f>7.3-3.2+1.8-1.9+3.2</f>
        <v>7.1999999999999993</v>
      </c>
      <c r="F276" s="119">
        <f t="shared" ref="F276" si="19">SUM(D276:E276)</f>
        <v>331</v>
      </c>
      <c r="H276" s="79"/>
    </row>
    <row r="277" spans="1:8" ht="18.75" x14ac:dyDescent="0.3">
      <c r="A277" s="236"/>
      <c r="B277" s="115" t="s">
        <v>256</v>
      </c>
      <c r="C277" s="116"/>
      <c r="D277" s="114">
        <v>1718.3</v>
      </c>
      <c r="E277" s="114">
        <f>41.8+108+64.2+50-108+50</f>
        <v>206</v>
      </c>
      <c r="F277" s="119">
        <f t="shared" si="14"/>
        <v>1924.3</v>
      </c>
      <c r="H277" s="79"/>
    </row>
    <row r="278" spans="1:8" ht="18.75" x14ac:dyDescent="0.3">
      <c r="A278" s="236"/>
      <c r="B278" s="115" t="s">
        <v>255</v>
      </c>
      <c r="C278" s="116"/>
      <c r="D278" s="114">
        <v>6874.8</v>
      </c>
      <c r="E278" s="114">
        <f>203.7+86+15+387.7+274.7+120+25.4</f>
        <v>1112.5</v>
      </c>
      <c r="F278" s="119">
        <f t="shared" si="14"/>
        <v>7987.3</v>
      </c>
      <c r="H278" s="79"/>
    </row>
    <row r="279" spans="1:8" ht="18.75" x14ac:dyDescent="0.3">
      <c r="A279" s="236"/>
      <c r="B279" s="115" t="s">
        <v>513</v>
      </c>
      <c r="C279" s="116"/>
      <c r="D279" s="114">
        <v>4336.3999999999996</v>
      </c>
      <c r="E279" s="114">
        <v>-8.1999999999999993</v>
      </c>
      <c r="F279" s="119">
        <f t="shared" si="14"/>
        <v>4328.2</v>
      </c>
      <c r="H279" s="79"/>
    </row>
    <row r="280" spans="1:8" ht="18.75" x14ac:dyDescent="0.3">
      <c r="A280" s="236"/>
      <c r="B280" s="115" t="s">
        <v>315</v>
      </c>
      <c r="C280" s="116"/>
      <c r="D280" s="114">
        <v>1197.5</v>
      </c>
      <c r="E280" s="114">
        <f>108.003+59.5+78.5+158-50</f>
        <v>354.00299999999999</v>
      </c>
      <c r="F280" s="119">
        <f t="shared" si="14"/>
        <v>1551.5029999999999</v>
      </c>
      <c r="H280" s="79"/>
    </row>
    <row r="281" spans="1:8" ht="18.75" x14ac:dyDescent="0.3">
      <c r="A281" s="236"/>
      <c r="B281" s="115" t="s">
        <v>260</v>
      </c>
      <c r="C281" s="116"/>
      <c r="D281" s="114">
        <v>8593.9</v>
      </c>
      <c r="E281" s="114">
        <f>120-133.8+210.5-120+90.6+242.9+87.9-87.9</f>
        <v>410.20000000000005</v>
      </c>
      <c r="F281" s="119">
        <f t="shared" si="14"/>
        <v>9004.1</v>
      </c>
      <c r="H281" s="79"/>
    </row>
    <row r="282" spans="1:8" ht="18.75" x14ac:dyDescent="0.3">
      <c r="A282" s="236"/>
      <c r="B282" s="115" t="s">
        <v>284</v>
      </c>
      <c r="C282" s="116"/>
      <c r="D282" s="114">
        <f>F117</f>
        <v>7754.3</v>
      </c>
      <c r="E282" s="114">
        <v>5996.3</v>
      </c>
      <c r="F282" s="119">
        <f t="shared" si="14"/>
        <v>13750.6</v>
      </c>
      <c r="H282" s="79"/>
    </row>
    <row r="283" spans="1:8" ht="18.75" x14ac:dyDescent="0.3">
      <c r="A283" s="236"/>
      <c r="B283" s="115" t="s">
        <v>327</v>
      </c>
      <c r="C283" s="116"/>
      <c r="D283" s="114">
        <v>1321.6</v>
      </c>
      <c r="E283" s="114">
        <v>-233.37</v>
      </c>
      <c r="F283" s="119">
        <f t="shared" si="14"/>
        <v>1088.23</v>
      </c>
      <c r="H283" s="79"/>
    </row>
    <row r="284" spans="1:8" ht="18.75" x14ac:dyDescent="0.3">
      <c r="A284" s="236"/>
      <c r="B284" s="115" t="s">
        <v>283</v>
      </c>
      <c r="C284" s="116"/>
      <c r="D284" s="114">
        <v>75854.2</v>
      </c>
      <c r="E284" s="114">
        <f>2517.57+89.6+375.4-0.00072-1235.70042+101.1+0.1-7.5</f>
        <v>1840.5688600000001</v>
      </c>
      <c r="F284" s="119">
        <f t="shared" si="14"/>
        <v>77694.768859999996</v>
      </c>
      <c r="H284" s="79"/>
    </row>
    <row r="285" spans="1:8" ht="18.75" x14ac:dyDescent="0.3">
      <c r="A285" s="236"/>
      <c r="B285" s="115" t="s">
        <v>514</v>
      </c>
      <c r="C285" s="116"/>
      <c r="D285" s="114">
        <v>3.3</v>
      </c>
      <c r="E285" s="114">
        <v>-0.6</v>
      </c>
      <c r="F285" s="119">
        <f t="shared" si="14"/>
        <v>2.6999999999999997</v>
      </c>
      <c r="H285" s="79"/>
    </row>
    <row r="286" spans="1:8" ht="18.75" x14ac:dyDescent="0.3">
      <c r="A286" s="236"/>
      <c r="B286" s="115" t="s">
        <v>259</v>
      </c>
      <c r="C286" s="116"/>
      <c r="D286" s="114">
        <v>6978.4</v>
      </c>
      <c r="E286" s="114">
        <f>83.1+275.6+49.2-66.2-5</f>
        <v>336.70000000000005</v>
      </c>
      <c r="F286" s="119">
        <f t="shared" ref="F286:F292" si="20">SUM(D286:E286)</f>
        <v>7315.0999999999995</v>
      </c>
      <c r="H286" s="79"/>
    </row>
    <row r="287" spans="1:8" ht="18.75" x14ac:dyDescent="0.3">
      <c r="A287" s="236"/>
      <c r="B287" s="115" t="s">
        <v>526</v>
      </c>
      <c r="C287" s="116"/>
      <c r="D287" s="114">
        <v>422.1</v>
      </c>
      <c r="E287" s="114">
        <v>2.7</v>
      </c>
      <c r="F287" s="119">
        <f t="shared" si="20"/>
        <v>424.8</v>
      </c>
      <c r="H287" s="79"/>
    </row>
    <row r="288" spans="1:8" ht="18.75" x14ac:dyDescent="0.3">
      <c r="A288" s="236"/>
      <c r="B288" s="115" t="s">
        <v>472</v>
      </c>
      <c r="C288" s="116"/>
      <c r="D288" s="114">
        <v>747.8</v>
      </c>
      <c r="E288" s="114">
        <f>-5-426.3-48.8072</f>
        <v>-480.10720000000003</v>
      </c>
      <c r="F288" s="119">
        <f t="shared" si="20"/>
        <v>267.69279999999992</v>
      </c>
      <c r="H288" s="79"/>
    </row>
    <row r="289" spans="1:8" ht="18.75" x14ac:dyDescent="0.3">
      <c r="A289" s="236"/>
      <c r="B289" s="115" t="s">
        <v>519</v>
      </c>
      <c r="C289" s="116"/>
      <c r="D289" s="114">
        <v>34854.800000000003</v>
      </c>
      <c r="E289" s="114">
        <f>-0.07685+0.01</f>
        <v>-6.6850000000000007E-2</v>
      </c>
      <c r="F289" s="119">
        <f t="shared" si="20"/>
        <v>34854.73315</v>
      </c>
      <c r="H289" s="79"/>
    </row>
    <row r="290" spans="1:8" ht="18.75" x14ac:dyDescent="0.3">
      <c r="A290" s="236"/>
      <c r="B290" s="115" t="s">
        <v>39</v>
      </c>
      <c r="C290" s="116"/>
      <c r="D290" s="114">
        <v>14725.2</v>
      </c>
      <c r="E290" s="114">
        <f>0.21568-0.01</f>
        <v>0.20568</v>
      </c>
      <c r="F290" s="119">
        <f t="shared" si="20"/>
        <v>14725.40568</v>
      </c>
      <c r="H290" s="79"/>
    </row>
    <row r="291" spans="1:8" ht="18.75" x14ac:dyDescent="0.3">
      <c r="A291" s="236"/>
      <c r="B291" s="115" t="s">
        <v>183</v>
      </c>
      <c r="C291" s="116"/>
      <c r="D291" s="114">
        <v>758.1</v>
      </c>
      <c r="E291" s="114">
        <v>-0.13883000000000001</v>
      </c>
      <c r="F291" s="119">
        <f t="shared" si="20"/>
        <v>757.96117000000004</v>
      </c>
      <c r="H291" s="79"/>
    </row>
    <row r="292" spans="1:8" ht="18.75" x14ac:dyDescent="0.3">
      <c r="A292" s="236"/>
      <c r="B292" s="115" t="s">
        <v>261</v>
      </c>
      <c r="C292" s="116"/>
      <c r="D292" s="114">
        <v>1919.6</v>
      </c>
      <c r="E292" s="114">
        <f>454.997-211.4+0.1+17.4</f>
        <v>261.09699999999998</v>
      </c>
      <c r="F292" s="119">
        <f t="shared" si="20"/>
        <v>2180.6970000000001</v>
      </c>
      <c r="H292" s="79"/>
    </row>
    <row r="293" spans="1:8" ht="18.75" x14ac:dyDescent="0.3">
      <c r="A293" s="236"/>
      <c r="B293" s="115" t="s">
        <v>254</v>
      </c>
      <c r="C293" s="116"/>
      <c r="D293" s="114">
        <f>F113</f>
        <v>141884.5</v>
      </c>
      <c r="E293" s="114">
        <f>449.5-48.4+293.2+796.05+80-0.75+826.36368-1.7-485.44671-61</f>
        <v>1847.8169700000001</v>
      </c>
      <c r="F293" s="119">
        <f t="shared" si="14"/>
        <v>143732.31697000001</v>
      </c>
      <c r="H293" s="79"/>
    </row>
    <row r="294" spans="1:8" ht="18.75" x14ac:dyDescent="0.3">
      <c r="A294" s="236"/>
      <c r="B294" s="115" t="s">
        <v>333</v>
      </c>
      <c r="C294" s="116"/>
      <c r="D294" s="114">
        <v>6079.2</v>
      </c>
      <c r="E294" s="114">
        <f>-293.2-782.2</f>
        <v>-1075.4000000000001</v>
      </c>
      <c r="F294" s="119">
        <f t="shared" si="14"/>
        <v>5003.7999999999993</v>
      </c>
      <c r="H294" s="79"/>
    </row>
    <row r="295" spans="1:8" ht="18.75" x14ac:dyDescent="0.3">
      <c r="A295" s="236"/>
      <c r="B295" s="115" t="s">
        <v>515</v>
      </c>
      <c r="C295" s="116"/>
      <c r="D295" s="114">
        <v>286.3</v>
      </c>
      <c r="E295" s="114">
        <v>-4.9000000000000004</v>
      </c>
      <c r="F295" s="119">
        <f t="shared" si="14"/>
        <v>281.40000000000003</v>
      </c>
      <c r="H295" s="79"/>
    </row>
    <row r="296" spans="1:8" ht="18.75" x14ac:dyDescent="0.3">
      <c r="A296" s="236"/>
      <c r="B296" s="115" t="s">
        <v>437</v>
      </c>
      <c r="C296" s="116"/>
      <c r="D296" s="114">
        <v>64.7</v>
      </c>
      <c r="E296" s="114">
        <f>-15+2.2</f>
        <v>-12.8</v>
      </c>
      <c r="F296" s="119">
        <f t="shared" si="14"/>
        <v>51.900000000000006</v>
      </c>
      <c r="H296" s="79"/>
    </row>
    <row r="297" spans="1:8" ht="18.75" x14ac:dyDescent="0.3">
      <c r="A297" s="236"/>
      <c r="B297" s="115" t="s">
        <v>484</v>
      </c>
      <c r="C297" s="116"/>
      <c r="D297" s="114">
        <v>43.1</v>
      </c>
      <c r="E297" s="114">
        <v>-0.11022999999999999</v>
      </c>
      <c r="F297" s="119">
        <f t="shared" si="14"/>
        <v>42.98977</v>
      </c>
      <c r="H297" s="79"/>
    </row>
    <row r="298" spans="1:8" ht="18.75" x14ac:dyDescent="0.3">
      <c r="A298" s="236"/>
      <c r="B298" s="115" t="s">
        <v>485</v>
      </c>
      <c r="C298" s="116"/>
      <c r="D298" s="114">
        <v>740</v>
      </c>
      <c r="E298" s="114">
        <v>-0.10783</v>
      </c>
      <c r="F298" s="119">
        <f t="shared" si="14"/>
        <v>739.89216999999996</v>
      </c>
      <c r="H298" s="79"/>
    </row>
    <row r="299" spans="1:8" ht="18.75" x14ac:dyDescent="0.3">
      <c r="A299" s="236"/>
      <c r="B299" s="115" t="s">
        <v>486</v>
      </c>
      <c r="C299" s="116"/>
      <c r="D299" s="114">
        <v>106</v>
      </c>
      <c r="E299" s="114">
        <v>25.278829999999999</v>
      </c>
      <c r="F299" s="119">
        <f t="shared" si="14"/>
        <v>131.27883</v>
      </c>
      <c r="H299" s="79"/>
    </row>
    <row r="300" spans="1:8" ht="18.75" x14ac:dyDescent="0.3">
      <c r="A300" s="236"/>
      <c r="B300" s="115" t="s">
        <v>487</v>
      </c>
      <c r="C300" s="116"/>
      <c r="D300" s="114">
        <v>477.1</v>
      </c>
      <c r="E300" s="114">
        <f>-63.54133+25</f>
        <v>-38.541330000000002</v>
      </c>
      <c r="F300" s="119">
        <f t="shared" si="14"/>
        <v>438.55867000000001</v>
      </c>
      <c r="H300" s="79"/>
    </row>
    <row r="301" spans="1:8" ht="18.75" x14ac:dyDescent="0.3">
      <c r="A301" s="236"/>
      <c r="B301" s="115" t="s">
        <v>277</v>
      </c>
      <c r="C301" s="116"/>
      <c r="D301" s="114">
        <v>24704.9</v>
      </c>
      <c r="E301" s="114">
        <f>8+243.48246+6.2-56.8-15.4</f>
        <v>185.48245999999997</v>
      </c>
      <c r="F301" s="119">
        <f t="shared" si="14"/>
        <v>24890.382460000001</v>
      </c>
      <c r="H301" s="79"/>
    </row>
    <row r="302" spans="1:8" ht="18.75" x14ac:dyDescent="0.3">
      <c r="A302" s="236"/>
      <c r="B302" s="115" t="s">
        <v>320</v>
      </c>
      <c r="C302" s="116"/>
      <c r="D302" s="114">
        <v>24134.2</v>
      </c>
      <c r="E302" s="114">
        <f>90.39869-0.4</f>
        <v>89.998689999999996</v>
      </c>
      <c r="F302" s="119">
        <f t="shared" ref="F302" si="21">SUM(D302:E302)</f>
        <v>24224.198690000001</v>
      </c>
      <c r="H302" s="79"/>
    </row>
    <row r="303" spans="1:8" ht="18.75" x14ac:dyDescent="0.3">
      <c r="A303" s="236"/>
      <c r="B303" s="115" t="s">
        <v>438</v>
      </c>
      <c r="C303" s="116"/>
      <c r="D303" s="114">
        <v>4628.7</v>
      </c>
      <c r="E303" s="114">
        <f>21+35.6+36.6</f>
        <v>93.2</v>
      </c>
      <c r="F303" s="119">
        <f t="shared" ref="F303" si="22">SUM(D303:E303)</f>
        <v>4721.8999999999996</v>
      </c>
      <c r="H303" s="79"/>
    </row>
    <row r="304" spans="1:8" ht="18.75" x14ac:dyDescent="0.3">
      <c r="A304" s="236"/>
      <c r="B304" s="115" t="s">
        <v>312</v>
      </c>
      <c r="C304" s="116"/>
      <c r="D304" s="114">
        <f>F116</f>
        <v>20487.599999999999</v>
      </c>
      <c r="E304" s="114">
        <f>-6.5+6.2+39.4644+4.7-36.7</f>
        <v>7.1644000000000005</v>
      </c>
      <c r="F304" s="119">
        <f t="shared" ref="F304:F318" si="23">SUM(D304:E304)</f>
        <v>20494.7644</v>
      </c>
      <c r="H304" s="79"/>
    </row>
    <row r="305" spans="1:8" ht="18.75" x14ac:dyDescent="0.3">
      <c r="A305" s="236"/>
      <c r="B305" s="115" t="s">
        <v>517</v>
      </c>
      <c r="C305" s="116"/>
      <c r="D305" s="114">
        <f>77.3-7</f>
        <v>70.3</v>
      </c>
      <c r="E305" s="114">
        <v>7</v>
      </c>
      <c r="F305" s="119">
        <f t="shared" si="23"/>
        <v>77.3</v>
      </c>
      <c r="H305" s="79"/>
    </row>
    <row r="306" spans="1:8" ht="18.75" x14ac:dyDescent="0.3">
      <c r="A306" s="236"/>
      <c r="B306" s="115" t="s">
        <v>488</v>
      </c>
      <c r="C306" s="116"/>
      <c r="D306" s="114">
        <v>4864.2</v>
      </c>
      <c r="E306" s="114">
        <f>-66.9-20+240.2</f>
        <v>153.29999999999998</v>
      </c>
      <c r="F306" s="119">
        <f t="shared" si="23"/>
        <v>5017.5</v>
      </c>
      <c r="H306" s="79"/>
    </row>
    <row r="307" spans="1:8" ht="18.75" x14ac:dyDescent="0.3">
      <c r="A307" s="236"/>
      <c r="B307" s="115" t="s">
        <v>516</v>
      </c>
      <c r="C307" s="116"/>
      <c r="D307" s="114">
        <v>30</v>
      </c>
      <c r="E307" s="114">
        <v>-11.7</v>
      </c>
      <c r="F307" s="119">
        <f t="shared" si="23"/>
        <v>18.3</v>
      </c>
      <c r="H307" s="79"/>
    </row>
    <row r="308" spans="1:8" ht="18.75" x14ac:dyDescent="0.3">
      <c r="A308" s="236"/>
      <c r="B308" s="115" t="s">
        <v>332</v>
      </c>
      <c r="C308" s="116"/>
      <c r="D308" s="114">
        <f>F119</f>
        <v>8270.0071499999995</v>
      </c>
      <c r="E308" s="114">
        <f>-363.4-605.20715</f>
        <v>-968.60714999999993</v>
      </c>
      <c r="F308" s="119">
        <f t="shared" si="23"/>
        <v>7301.4</v>
      </c>
      <c r="H308" s="79"/>
    </row>
    <row r="309" spans="1:8" ht="18.75" x14ac:dyDescent="0.3">
      <c r="A309" s="236"/>
      <c r="B309" s="115" t="s">
        <v>439</v>
      </c>
      <c r="C309" s="116"/>
      <c r="D309" s="114">
        <v>420</v>
      </c>
      <c r="E309" s="114">
        <v>1</v>
      </c>
      <c r="F309" s="119">
        <f t="shared" si="23"/>
        <v>421</v>
      </c>
      <c r="H309" s="79"/>
    </row>
    <row r="310" spans="1:8" ht="18.75" x14ac:dyDescent="0.3">
      <c r="A310" s="236"/>
      <c r="B310" s="115" t="s">
        <v>440</v>
      </c>
      <c r="C310" s="116"/>
      <c r="D310" s="114">
        <v>1025.2</v>
      </c>
      <c r="E310" s="114">
        <v>-1</v>
      </c>
      <c r="F310" s="119">
        <f t="shared" si="23"/>
        <v>1024.2</v>
      </c>
      <c r="H310" s="79"/>
    </row>
    <row r="311" spans="1:8" ht="18.75" x14ac:dyDescent="0.3">
      <c r="A311" s="236"/>
      <c r="B311" s="115" t="s">
        <v>518</v>
      </c>
      <c r="C311" s="116"/>
      <c r="D311" s="114">
        <v>3643.2</v>
      </c>
      <c r="E311" s="114">
        <v>-126.4</v>
      </c>
      <c r="F311" s="119">
        <f t="shared" si="23"/>
        <v>3516.7999999999997</v>
      </c>
      <c r="H311" s="79"/>
    </row>
    <row r="312" spans="1:8" ht="18.75" x14ac:dyDescent="0.3">
      <c r="A312" s="236"/>
      <c r="B312" s="115" t="s">
        <v>509</v>
      </c>
      <c r="C312" s="116"/>
      <c r="D312" s="114">
        <v>1.8</v>
      </c>
      <c r="E312" s="114">
        <v>6.0699999999999997E-2</v>
      </c>
      <c r="F312" s="119">
        <f t="shared" si="23"/>
        <v>1.8607</v>
      </c>
      <c r="H312" s="79"/>
    </row>
    <row r="313" spans="1:8" ht="18.75" x14ac:dyDescent="0.3">
      <c r="A313" s="236"/>
      <c r="B313" s="115" t="s">
        <v>510</v>
      </c>
      <c r="C313" s="116"/>
      <c r="D313" s="114">
        <v>315.89999999999998</v>
      </c>
      <c r="E313" s="114">
        <v>24.491540000000001</v>
      </c>
      <c r="F313" s="119">
        <f t="shared" si="23"/>
        <v>340.39153999999996</v>
      </c>
      <c r="H313" s="79"/>
    </row>
    <row r="314" spans="1:8" ht="18.75" x14ac:dyDescent="0.3">
      <c r="A314" s="236"/>
      <c r="B314" s="115" t="s">
        <v>511</v>
      </c>
      <c r="C314" s="116"/>
      <c r="D314" s="114">
        <v>1942.4</v>
      </c>
      <c r="E314" s="114">
        <v>-24.552240000000001</v>
      </c>
      <c r="F314" s="119">
        <f t="shared" si="23"/>
        <v>1917.8477600000001</v>
      </c>
      <c r="H314" s="79"/>
    </row>
    <row r="315" spans="1:8" ht="18.75" x14ac:dyDescent="0.3">
      <c r="A315" s="236"/>
      <c r="B315" s="115" t="s">
        <v>335</v>
      </c>
      <c r="C315" s="116"/>
      <c r="D315" s="114">
        <v>4887.7</v>
      </c>
      <c r="E315" s="114">
        <f>-789.55-327.34974</f>
        <v>-1116.8997399999998</v>
      </c>
      <c r="F315" s="119">
        <f t="shared" si="23"/>
        <v>3770.80026</v>
      </c>
      <c r="H315" s="79"/>
    </row>
    <row r="316" spans="1:8" ht="18.75" x14ac:dyDescent="0.3">
      <c r="A316" s="237" t="s">
        <v>14</v>
      </c>
      <c r="B316" s="146" t="s">
        <v>428</v>
      </c>
      <c r="C316" s="116"/>
      <c r="D316" s="114">
        <v>0</v>
      </c>
      <c r="E316" s="114">
        <v>50</v>
      </c>
      <c r="F316" s="119">
        <f t="shared" si="23"/>
        <v>50</v>
      </c>
      <c r="H316" s="79"/>
    </row>
    <row r="317" spans="1:8" ht="18.75" x14ac:dyDescent="0.3">
      <c r="A317" s="238"/>
      <c r="B317" s="147" t="s">
        <v>427</v>
      </c>
      <c r="C317" s="116"/>
      <c r="D317" s="114">
        <v>0</v>
      </c>
      <c r="E317" s="114">
        <f>28.348+104.426</f>
        <v>132.774</v>
      </c>
      <c r="F317" s="119">
        <f t="shared" si="23"/>
        <v>132.774</v>
      </c>
      <c r="H317" s="79"/>
    </row>
    <row r="318" spans="1:8" ht="18.75" x14ac:dyDescent="0.3">
      <c r="A318" s="238"/>
      <c r="B318" s="113" t="s">
        <v>278</v>
      </c>
      <c r="C318" s="113"/>
      <c r="D318" s="114">
        <v>692.7</v>
      </c>
      <c r="E318" s="114">
        <f>6.9+2-0.1</f>
        <v>8.8000000000000007</v>
      </c>
      <c r="F318" s="119">
        <f t="shared" si="23"/>
        <v>701.5</v>
      </c>
      <c r="H318" s="79"/>
    </row>
    <row r="319" spans="1:8" ht="18.75" x14ac:dyDescent="0.3">
      <c r="A319" s="238"/>
      <c r="B319" s="113" t="s">
        <v>314</v>
      </c>
      <c r="C319" s="113"/>
      <c r="D319" s="114">
        <v>150.4</v>
      </c>
      <c r="E319" s="114">
        <v>-126.4</v>
      </c>
      <c r="F319" s="119">
        <f t="shared" ref="F319" si="24">SUM(D319:E319)</f>
        <v>24</v>
      </c>
    </row>
    <row r="320" spans="1:8" ht="18.75" x14ac:dyDescent="0.3">
      <c r="A320" s="238"/>
      <c r="B320" s="113" t="s">
        <v>249</v>
      </c>
      <c r="C320" s="113"/>
      <c r="D320" s="114">
        <v>33948</v>
      </c>
      <c r="E320" s="114">
        <f>109.1+12.1+10.8+395.5-0.3</f>
        <v>527.20000000000005</v>
      </c>
      <c r="F320" s="119">
        <f t="shared" si="14"/>
        <v>34475.199999999997</v>
      </c>
    </row>
    <row r="321" spans="1:6" ht="18.75" x14ac:dyDescent="0.3">
      <c r="A321" s="238"/>
      <c r="B321" s="113" t="s">
        <v>313</v>
      </c>
      <c r="C321" s="113"/>
      <c r="D321" s="114">
        <v>2074.1999999999998</v>
      </c>
      <c r="E321" s="114">
        <f>35.5-0.2</f>
        <v>35.299999999999997</v>
      </c>
      <c r="F321" s="119">
        <f t="shared" si="14"/>
        <v>2109.5</v>
      </c>
    </row>
    <row r="322" spans="1:6" ht="18.75" x14ac:dyDescent="0.3">
      <c r="A322" s="238"/>
      <c r="B322" s="113" t="s">
        <v>297</v>
      </c>
      <c r="C322" s="113"/>
      <c r="D322" s="114">
        <v>61595.5</v>
      </c>
      <c r="E322" s="114">
        <f>92.8-19.6-28.5-50-610-100.8-71.7</f>
        <v>-787.8</v>
      </c>
      <c r="F322" s="119">
        <f t="shared" si="14"/>
        <v>60807.7</v>
      </c>
    </row>
    <row r="323" spans="1:6" ht="18.75" x14ac:dyDescent="0.3">
      <c r="A323" s="238"/>
      <c r="B323" s="113" t="s">
        <v>302</v>
      </c>
      <c r="C323" s="113"/>
      <c r="D323" s="114">
        <v>4497.5</v>
      </c>
      <c r="E323" s="114">
        <f>5.5+0.1-99.1-0.1</f>
        <v>-93.6</v>
      </c>
      <c r="F323" s="119">
        <f t="shared" si="14"/>
        <v>4403.8999999999996</v>
      </c>
    </row>
    <row r="324" spans="1:6" ht="18.75" x14ac:dyDescent="0.3">
      <c r="A324" s="238"/>
      <c r="B324" s="113" t="s">
        <v>298</v>
      </c>
      <c r="C324" s="113"/>
      <c r="D324" s="114">
        <v>20052.8</v>
      </c>
      <c r="E324" s="114">
        <f>11.6+7.4+15.7+50-157.9+121.7</f>
        <v>48.5</v>
      </c>
      <c r="F324" s="119">
        <f t="shared" si="14"/>
        <v>20101.3</v>
      </c>
    </row>
    <row r="325" spans="1:6" ht="18.75" x14ac:dyDescent="0.3">
      <c r="A325" s="238"/>
      <c r="B325" s="113" t="s">
        <v>453</v>
      </c>
      <c r="C325" s="113"/>
      <c r="D325" s="114">
        <v>1303.8</v>
      </c>
      <c r="E325" s="114">
        <f>-14.5-0.5+71.7</f>
        <v>56.7</v>
      </c>
      <c r="F325" s="119">
        <f t="shared" si="14"/>
        <v>1360.5</v>
      </c>
    </row>
    <row r="326" spans="1:6" ht="18.75" x14ac:dyDescent="0.3">
      <c r="A326" s="238"/>
      <c r="B326" s="113" t="s">
        <v>303</v>
      </c>
      <c r="C326" s="113"/>
      <c r="D326" s="114">
        <v>70.8</v>
      </c>
      <c r="E326" s="114">
        <v>-4.2</v>
      </c>
      <c r="F326" s="119">
        <f t="shared" si="14"/>
        <v>66.599999999999994</v>
      </c>
    </row>
    <row r="327" spans="1:6" ht="18.75" x14ac:dyDescent="0.3">
      <c r="A327" s="238"/>
      <c r="B327" s="113" t="s">
        <v>473</v>
      </c>
      <c r="C327" s="113"/>
      <c r="D327" s="114">
        <v>11.4</v>
      </c>
      <c r="E327" s="114">
        <v>-0.6</v>
      </c>
      <c r="F327" s="119">
        <f t="shared" si="14"/>
        <v>10.8</v>
      </c>
    </row>
    <row r="328" spans="1:6" ht="18.75" x14ac:dyDescent="0.3">
      <c r="A328" s="238"/>
      <c r="B328" s="113" t="s">
        <v>311</v>
      </c>
      <c r="C328" s="113"/>
      <c r="D328" s="114">
        <v>21598.799999999999</v>
      </c>
      <c r="E328" s="114">
        <f>-103.5-1759.7-1.2</f>
        <v>-1864.4</v>
      </c>
      <c r="F328" s="119">
        <f t="shared" si="14"/>
        <v>19734.399999999998</v>
      </c>
    </row>
    <row r="329" spans="1:6" ht="18.75" x14ac:dyDescent="0.3">
      <c r="A329" s="239"/>
      <c r="B329" s="113" t="s">
        <v>285</v>
      </c>
      <c r="C329" s="113"/>
      <c r="D329" s="114">
        <v>497.8</v>
      </c>
      <c r="E329" s="114">
        <f>-27.3-17.9</f>
        <v>-45.2</v>
      </c>
      <c r="F329" s="119">
        <f t="shared" si="14"/>
        <v>452.6</v>
      </c>
    </row>
    <row r="330" spans="1:6" ht="18.75" x14ac:dyDescent="0.3">
      <c r="A330" s="236" t="s">
        <v>570</v>
      </c>
      <c r="B330" s="113" t="s">
        <v>323</v>
      </c>
      <c r="C330" s="113"/>
      <c r="D330" s="114">
        <v>1304.8</v>
      </c>
      <c r="E330" s="114">
        <f>-3-37+67.1</f>
        <v>27.099999999999994</v>
      </c>
      <c r="F330" s="119">
        <f t="shared" si="14"/>
        <v>1331.8999999999999</v>
      </c>
    </row>
    <row r="331" spans="1:6" ht="18.75" x14ac:dyDescent="0.3">
      <c r="A331" s="236"/>
      <c r="B331" s="113" t="s">
        <v>324</v>
      </c>
      <c r="C331" s="113"/>
      <c r="D331" s="114">
        <v>42</v>
      </c>
      <c r="E331" s="114">
        <v>-3.6</v>
      </c>
      <c r="F331" s="119">
        <f t="shared" si="14"/>
        <v>38.4</v>
      </c>
    </row>
    <row r="332" spans="1:6" ht="18.75" x14ac:dyDescent="0.3">
      <c r="A332" s="236"/>
      <c r="B332" s="113" t="s">
        <v>325</v>
      </c>
      <c r="C332" s="113"/>
      <c r="D332" s="114">
        <v>3824.9</v>
      </c>
      <c r="E332" s="114">
        <v>-0.7</v>
      </c>
      <c r="F332" s="119">
        <f t="shared" si="14"/>
        <v>3824.2000000000003</v>
      </c>
    </row>
    <row r="333" spans="1:6" ht="18.75" x14ac:dyDescent="0.3">
      <c r="A333" s="236"/>
      <c r="B333" s="113" t="s">
        <v>451</v>
      </c>
      <c r="C333" s="113"/>
      <c r="D333" s="114">
        <v>16408.5</v>
      </c>
      <c r="E333" s="114">
        <f>578.8-47</f>
        <v>531.79999999999995</v>
      </c>
      <c r="F333" s="119">
        <f t="shared" si="14"/>
        <v>16940.3</v>
      </c>
    </row>
    <row r="334" spans="1:6" ht="18.75" x14ac:dyDescent="0.3">
      <c r="A334" s="236"/>
      <c r="B334" s="113" t="s">
        <v>299</v>
      </c>
      <c r="C334" s="113"/>
      <c r="D334" s="114">
        <v>52103.6</v>
      </c>
      <c r="E334" s="114">
        <f>5+2193.2-19</f>
        <v>2179.1999999999998</v>
      </c>
      <c r="F334" s="119">
        <f t="shared" si="14"/>
        <v>54282.799999999996</v>
      </c>
    </row>
    <row r="335" spans="1:6" ht="18.75" x14ac:dyDescent="0.3">
      <c r="A335" s="236"/>
      <c r="B335" s="113" t="s">
        <v>300</v>
      </c>
      <c r="C335" s="113"/>
      <c r="D335" s="114">
        <v>195.3</v>
      </c>
      <c r="E335" s="114">
        <v>2.2999999999999998</v>
      </c>
      <c r="F335" s="119">
        <f t="shared" si="14"/>
        <v>197.60000000000002</v>
      </c>
    </row>
    <row r="336" spans="1:6" ht="18.75" x14ac:dyDescent="0.3">
      <c r="A336" s="237" t="s">
        <v>25</v>
      </c>
      <c r="B336" s="146" t="s">
        <v>429</v>
      </c>
      <c r="C336" s="113"/>
      <c r="D336" s="114">
        <v>0</v>
      </c>
      <c r="E336" s="114">
        <v>11</v>
      </c>
      <c r="F336" s="119">
        <f t="shared" si="14"/>
        <v>11</v>
      </c>
    </row>
    <row r="337" spans="1:8" ht="18.75" x14ac:dyDescent="0.3">
      <c r="A337" s="238"/>
      <c r="B337" s="147" t="s">
        <v>430</v>
      </c>
      <c r="C337" s="113"/>
      <c r="D337" s="114">
        <v>0</v>
      </c>
      <c r="E337" s="114">
        <v>54</v>
      </c>
      <c r="F337" s="119">
        <f t="shared" si="14"/>
        <v>54</v>
      </c>
    </row>
    <row r="338" spans="1:8" ht="18.75" x14ac:dyDescent="0.3">
      <c r="A338" s="238"/>
      <c r="B338" s="147" t="s">
        <v>459</v>
      </c>
      <c r="C338" s="113"/>
      <c r="D338" s="114">
        <v>0</v>
      </c>
      <c r="E338" s="114">
        <v>0.3</v>
      </c>
      <c r="F338" s="119">
        <f t="shared" si="14"/>
        <v>0.3</v>
      </c>
    </row>
    <row r="339" spans="1:8" ht="18.75" x14ac:dyDescent="0.3">
      <c r="A339" s="238"/>
      <c r="B339" s="113" t="s">
        <v>306</v>
      </c>
      <c r="C339" s="113"/>
      <c r="D339" s="114">
        <v>20.399999999999999</v>
      </c>
      <c r="E339" s="114">
        <v>-6.4457000000000004</v>
      </c>
      <c r="F339" s="119">
        <f t="shared" si="14"/>
        <v>13.954299999999998</v>
      </c>
    </row>
    <row r="340" spans="1:8" ht="18.75" x14ac:dyDescent="0.3">
      <c r="A340" s="238"/>
      <c r="B340" s="113" t="s">
        <v>307</v>
      </c>
      <c r="C340" s="113"/>
      <c r="D340" s="114">
        <v>24.3</v>
      </c>
      <c r="E340" s="114">
        <v>6.4457000000000004</v>
      </c>
      <c r="F340" s="119">
        <f t="shared" si="14"/>
        <v>30.745699999999999</v>
      </c>
    </row>
    <row r="341" spans="1:8" ht="18.75" x14ac:dyDescent="0.3">
      <c r="A341" s="238"/>
      <c r="B341" s="113" t="s">
        <v>460</v>
      </c>
      <c r="C341" s="113"/>
      <c r="D341" s="114">
        <v>9.1</v>
      </c>
      <c r="E341" s="114">
        <f>-0.05737-0.3</f>
        <v>-0.35736999999999997</v>
      </c>
      <c r="F341" s="119">
        <f t="shared" ref="F341:F342" si="25">SUM(D341:E341)</f>
        <v>8.7426300000000001</v>
      </c>
    </row>
    <row r="342" spans="1:8" ht="18.75" x14ac:dyDescent="0.3">
      <c r="A342" s="238"/>
      <c r="B342" s="113" t="s">
        <v>293</v>
      </c>
      <c r="C342" s="113"/>
      <c r="D342" s="114">
        <v>477.2</v>
      </c>
      <c r="E342" s="114">
        <f>0.05737+0.3</f>
        <v>0.35736999999999997</v>
      </c>
      <c r="F342" s="119">
        <f t="shared" si="25"/>
        <v>477.55736999999999</v>
      </c>
    </row>
    <row r="343" spans="1:8" ht="18.75" x14ac:dyDescent="0.3">
      <c r="A343" s="238"/>
      <c r="B343" s="113" t="s">
        <v>334</v>
      </c>
      <c r="C343" s="113"/>
      <c r="D343" s="114">
        <v>931</v>
      </c>
      <c r="E343" s="114">
        <f>0.79921+0.1+21</f>
        <v>21.89921</v>
      </c>
      <c r="F343" s="119">
        <f t="shared" si="14"/>
        <v>952.89921000000004</v>
      </c>
    </row>
    <row r="344" spans="1:8" ht="18.75" x14ac:dyDescent="0.3">
      <c r="A344" s="238"/>
      <c r="B344" s="113" t="s">
        <v>104</v>
      </c>
      <c r="C344" s="113"/>
      <c r="D344" s="114">
        <f>F150</f>
        <v>97480</v>
      </c>
      <c r="E344" s="114">
        <f>-0.79921-0.1-21</f>
        <v>-21.89921</v>
      </c>
      <c r="F344" s="119">
        <f t="shared" si="14"/>
        <v>97458.100789999997</v>
      </c>
    </row>
    <row r="345" spans="1:8" ht="18.75" x14ac:dyDescent="0.3">
      <c r="A345" s="238"/>
      <c r="B345" s="113" t="s">
        <v>294</v>
      </c>
      <c r="C345" s="113"/>
      <c r="D345" s="114">
        <f>F136</f>
        <v>12797.524069999999</v>
      </c>
      <c r="E345" s="114">
        <f>363.4-363.4+966.14338</f>
        <v>966.14337999999998</v>
      </c>
      <c r="F345" s="119">
        <f t="shared" si="14"/>
        <v>13763.667449999999</v>
      </c>
    </row>
    <row r="346" spans="1:8" ht="18.75" x14ac:dyDescent="0.3">
      <c r="A346" s="238"/>
      <c r="B346" s="113" t="s">
        <v>408</v>
      </c>
      <c r="C346" s="113"/>
      <c r="D346" s="114">
        <f>F135</f>
        <v>64.468779999999995</v>
      </c>
      <c r="E346" s="114">
        <v>2.4637699999999998</v>
      </c>
      <c r="F346" s="119">
        <f t="shared" si="14"/>
        <v>66.932549999999992</v>
      </c>
    </row>
    <row r="347" spans="1:8" ht="18.75" x14ac:dyDescent="0.3">
      <c r="A347" s="238"/>
      <c r="B347" s="113" t="s">
        <v>401</v>
      </c>
      <c r="C347" s="113"/>
      <c r="D347" s="114">
        <v>3.3</v>
      </c>
      <c r="E347" s="114">
        <v>-0.05</v>
      </c>
      <c r="F347" s="119">
        <f t="shared" ref="F347:F349" si="26">SUM(D347:E347)</f>
        <v>3.25</v>
      </c>
    </row>
    <row r="348" spans="1:8" ht="18.75" x14ac:dyDescent="0.3">
      <c r="A348" s="238"/>
      <c r="B348" s="113" t="s">
        <v>289</v>
      </c>
      <c r="C348" s="113"/>
      <c r="D348" s="114">
        <f>F145</f>
        <v>11136.7</v>
      </c>
      <c r="E348" s="114">
        <v>0.05</v>
      </c>
      <c r="F348" s="119">
        <f t="shared" si="26"/>
        <v>11136.75</v>
      </c>
    </row>
    <row r="349" spans="1:8" ht="18.75" x14ac:dyDescent="0.3">
      <c r="A349" s="238"/>
      <c r="B349" s="113" t="s">
        <v>402</v>
      </c>
      <c r="C349" s="113"/>
      <c r="D349" s="114">
        <v>25</v>
      </c>
      <c r="E349" s="114">
        <f>-0.00748-0.3</f>
        <v>-0.30747999999999998</v>
      </c>
      <c r="F349" s="119">
        <f t="shared" si="26"/>
        <v>24.692520000000002</v>
      </c>
      <c r="H349" s="79"/>
    </row>
    <row r="350" spans="1:8" ht="18.75" x14ac:dyDescent="0.3">
      <c r="A350" s="238"/>
      <c r="B350" s="113" t="s">
        <v>295</v>
      </c>
      <c r="C350" s="113"/>
      <c r="D350" s="114">
        <f>F151</f>
        <v>1316.65949</v>
      </c>
      <c r="E350" s="114">
        <f>23.19123+0.3</f>
        <v>23.491230000000002</v>
      </c>
      <c r="F350" s="119">
        <f t="shared" si="14"/>
        <v>1340.1507200000001</v>
      </c>
    </row>
    <row r="351" spans="1:8" ht="18.75" x14ac:dyDescent="0.3">
      <c r="A351" s="239"/>
      <c r="B351" s="113" t="s">
        <v>296</v>
      </c>
      <c r="C351" s="113"/>
      <c r="D351" s="114">
        <f>F152</f>
        <v>191.34050999999999</v>
      </c>
      <c r="E351" s="114">
        <f>-23.19123+0.00748</f>
        <v>-23.18375</v>
      </c>
      <c r="F351" s="119">
        <f t="shared" si="14"/>
        <v>168.15675999999999</v>
      </c>
      <c r="H351" s="79"/>
    </row>
    <row r="352" spans="1:8" ht="18.75" x14ac:dyDescent="0.3">
      <c r="A352" s="237" t="s">
        <v>26</v>
      </c>
      <c r="B352" s="142" t="s">
        <v>424</v>
      </c>
      <c r="C352" s="113"/>
      <c r="D352" s="114">
        <v>0</v>
      </c>
      <c r="E352" s="114">
        <v>30.75</v>
      </c>
      <c r="F352" s="119">
        <f t="shared" si="14"/>
        <v>30.75</v>
      </c>
      <c r="H352" s="79"/>
    </row>
    <row r="353" spans="1:8" ht="18.75" x14ac:dyDescent="0.3">
      <c r="A353" s="238"/>
      <c r="B353" s="113" t="s">
        <v>400</v>
      </c>
      <c r="C353" s="113"/>
      <c r="D353" s="114">
        <v>1868.6</v>
      </c>
      <c r="E353" s="114">
        <v>421.4</v>
      </c>
      <c r="F353" s="119">
        <f t="shared" si="14"/>
        <v>2290</v>
      </c>
      <c r="H353" s="79"/>
    </row>
    <row r="354" spans="1:8" ht="18.75" x14ac:dyDescent="0.3">
      <c r="A354" s="238"/>
      <c r="B354" s="113" t="s">
        <v>328</v>
      </c>
      <c r="C354" s="113"/>
      <c r="D354" s="114">
        <v>100226.6</v>
      </c>
      <c r="E354" s="114">
        <f>2939.7+1888.5+450+1000+700</f>
        <v>6978.2</v>
      </c>
      <c r="F354" s="119">
        <f t="shared" si="14"/>
        <v>107204.8</v>
      </c>
      <c r="H354" s="79"/>
    </row>
    <row r="355" spans="1:8" ht="18.75" x14ac:dyDescent="0.3">
      <c r="A355" s="238"/>
      <c r="B355" s="113" t="s">
        <v>329</v>
      </c>
      <c r="C355" s="113"/>
      <c r="D355" s="114">
        <v>14287</v>
      </c>
      <c r="E355" s="114">
        <f>-1000.1-1888.5+192.8+150+76.6-69</f>
        <v>-2538.1999999999998</v>
      </c>
      <c r="F355" s="119">
        <f t="shared" ref="F355" si="27">SUM(D355:E355)</f>
        <v>11748.8</v>
      </c>
      <c r="H355" s="79"/>
    </row>
    <row r="356" spans="1:8" ht="18.75" x14ac:dyDescent="0.3">
      <c r="A356" s="238"/>
      <c r="B356" s="113" t="s">
        <v>279</v>
      </c>
      <c r="C356" s="113"/>
      <c r="D356" s="114">
        <f>F160</f>
        <v>222202.8</v>
      </c>
      <c r="E356" s="114">
        <f>534.8+3631.9+2715.2+13633.7</f>
        <v>20515.599999999999</v>
      </c>
      <c r="F356" s="119">
        <f t="shared" ref="F356:F361" si="28">SUM(D356:E356)</f>
        <v>242718.4</v>
      </c>
      <c r="H356" s="79"/>
    </row>
    <row r="357" spans="1:8" ht="18.75" x14ac:dyDescent="0.3">
      <c r="A357" s="238"/>
      <c r="B357" s="113" t="s">
        <v>398</v>
      </c>
      <c r="C357" s="113"/>
      <c r="D357" s="114">
        <v>18987.7</v>
      </c>
      <c r="E357" s="114">
        <f>2199.7-354.3</f>
        <v>1845.3999999999999</v>
      </c>
      <c r="F357" s="119">
        <f t="shared" si="28"/>
        <v>20833.100000000002</v>
      </c>
      <c r="H357" s="79"/>
    </row>
    <row r="358" spans="1:8" ht="18.75" x14ac:dyDescent="0.3">
      <c r="A358" s="238"/>
      <c r="B358" s="113" t="s">
        <v>318</v>
      </c>
      <c r="C358" s="113"/>
      <c r="D358" s="114">
        <v>4839.3</v>
      </c>
      <c r="E358" s="114">
        <v>337</v>
      </c>
      <c r="F358" s="119">
        <f t="shared" si="28"/>
        <v>5176.3</v>
      </c>
      <c r="H358" s="79"/>
    </row>
    <row r="359" spans="1:8" ht="18.75" x14ac:dyDescent="0.3">
      <c r="A359" s="238"/>
      <c r="B359" s="113" t="s">
        <v>399</v>
      </c>
      <c r="C359" s="113"/>
      <c r="D359" s="114">
        <v>41076.699999999997</v>
      </c>
      <c r="E359" s="114">
        <v>2710</v>
      </c>
      <c r="F359" s="119">
        <f t="shared" si="28"/>
        <v>43786.7</v>
      </c>
      <c r="H359" s="79"/>
    </row>
    <row r="360" spans="1:8" ht="18.75" x14ac:dyDescent="0.3">
      <c r="A360" s="238"/>
      <c r="B360" s="113" t="s">
        <v>308</v>
      </c>
      <c r="C360" s="113"/>
      <c r="D360" s="114">
        <v>5700</v>
      </c>
      <c r="E360" s="114">
        <f>500+1500</f>
        <v>2000</v>
      </c>
      <c r="F360" s="119">
        <f t="shared" si="28"/>
        <v>7700</v>
      </c>
      <c r="H360" s="79"/>
    </row>
    <row r="361" spans="1:8" ht="18.75" x14ac:dyDescent="0.3">
      <c r="A361" s="238"/>
      <c r="B361" s="113" t="s">
        <v>330</v>
      </c>
      <c r="C361" s="113"/>
      <c r="D361" s="114">
        <v>3500</v>
      </c>
      <c r="E361" s="114">
        <f>-1500-12.4</f>
        <v>-1512.4</v>
      </c>
      <c r="F361" s="119">
        <f t="shared" si="28"/>
        <v>1987.6</v>
      </c>
    </row>
    <row r="362" spans="1:8" ht="18.75" x14ac:dyDescent="0.3">
      <c r="A362" s="238"/>
      <c r="B362" s="113" t="s">
        <v>331</v>
      </c>
      <c r="C362" s="113"/>
      <c r="D362" s="114">
        <v>1000</v>
      </c>
      <c r="E362" s="114">
        <f>-218.6-200-166.9</f>
        <v>-585.5</v>
      </c>
      <c r="F362" s="119">
        <f t="shared" si="14"/>
        <v>414.5</v>
      </c>
    </row>
    <row r="363" spans="1:8" ht="18.75" x14ac:dyDescent="0.3">
      <c r="A363" s="238"/>
      <c r="B363" s="113" t="s">
        <v>309</v>
      </c>
      <c r="C363" s="113"/>
      <c r="D363" s="114">
        <v>2500</v>
      </c>
      <c r="E363" s="114">
        <v>-2500</v>
      </c>
      <c r="F363" s="119">
        <f t="shared" si="14"/>
        <v>0</v>
      </c>
    </row>
    <row r="364" spans="1:8" ht="18.75" x14ac:dyDescent="0.3">
      <c r="A364" s="238"/>
      <c r="B364" s="113" t="s">
        <v>433</v>
      </c>
      <c r="C364" s="113"/>
      <c r="D364" s="114">
        <f>8145.8+221</f>
        <v>8366.7999999999993</v>
      </c>
      <c r="E364" s="114">
        <f>-600-10-221-76.6</f>
        <v>-907.6</v>
      </c>
      <c r="F364" s="119">
        <f t="shared" ref="F364" si="29">SUM(D364:E364)</f>
        <v>7459.1999999999989</v>
      </c>
    </row>
    <row r="365" spans="1:8" ht="18.75" x14ac:dyDescent="0.3">
      <c r="A365" s="238"/>
      <c r="B365" s="113" t="s">
        <v>436</v>
      </c>
      <c r="C365" s="113"/>
      <c r="D365" s="114">
        <v>0</v>
      </c>
      <c r="E365" s="114">
        <v>10</v>
      </c>
      <c r="F365" s="119">
        <f t="shared" si="14"/>
        <v>10</v>
      </c>
    </row>
    <row r="366" spans="1:8" ht="18.75" x14ac:dyDescent="0.3">
      <c r="A366" s="238"/>
      <c r="B366" s="148" t="s">
        <v>445</v>
      </c>
      <c r="C366" s="113"/>
      <c r="D366" s="114">
        <v>5860.9</v>
      </c>
      <c r="E366" s="114">
        <f>-100+287.2</f>
        <v>187.2</v>
      </c>
      <c r="F366" s="119">
        <f t="shared" si="14"/>
        <v>6048.0999999999995</v>
      </c>
    </row>
    <row r="367" spans="1:8" ht="18.75" x14ac:dyDescent="0.3">
      <c r="A367" s="239"/>
      <c r="B367" s="148" t="s">
        <v>446</v>
      </c>
      <c r="C367" s="113"/>
      <c r="D367" s="114">
        <v>16064.6</v>
      </c>
      <c r="E367" s="114">
        <f>-101.4-251.7</f>
        <v>-353.1</v>
      </c>
      <c r="F367" s="119">
        <f t="shared" si="14"/>
        <v>15711.5</v>
      </c>
    </row>
    <row r="368" spans="1:8" ht="18.75" x14ac:dyDescent="0.25">
      <c r="A368" s="157"/>
      <c r="B368" s="240" t="s">
        <v>431</v>
      </c>
      <c r="C368" s="241"/>
      <c r="D368" s="241"/>
      <c r="E368" s="241"/>
      <c r="F368" s="242"/>
    </row>
    <row r="369" spans="1:8" ht="18.75" x14ac:dyDescent="0.3">
      <c r="A369" s="237" t="s">
        <v>570</v>
      </c>
      <c r="B369" s="113" t="s">
        <v>299</v>
      </c>
      <c r="C369" s="113"/>
      <c r="D369" s="114">
        <v>44485.5</v>
      </c>
      <c r="E369" s="114">
        <v>-2800</v>
      </c>
      <c r="F369" s="119">
        <f t="shared" si="14"/>
        <v>41685.5</v>
      </c>
    </row>
    <row r="370" spans="1:8" ht="18.75" x14ac:dyDescent="0.3">
      <c r="A370" s="239"/>
      <c r="B370" s="113" t="s">
        <v>432</v>
      </c>
      <c r="C370" s="113"/>
      <c r="D370" s="114">
        <v>0</v>
      </c>
      <c r="E370" s="114">
        <v>2800</v>
      </c>
      <c r="F370" s="119">
        <f t="shared" si="14"/>
        <v>2800</v>
      </c>
    </row>
    <row r="371" spans="1:8" ht="19.5" x14ac:dyDescent="0.35">
      <c r="A371" s="97" t="s">
        <v>6</v>
      </c>
      <c r="B371" s="274"/>
      <c r="C371" s="274"/>
      <c r="D371" s="98" t="s">
        <v>20</v>
      </c>
      <c r="E371" s="150">
        <f>SUM(E216:E367)</f>
        <v>29432.72478</v>
      </c>
      <c r="F371" s="98"/>
    </row>
    <row r="372" spans="1:8" ht="24.75" customHeight="1" x14ac:dyDescent="0.35">
      <c r="A372" s="80"/>
      <c r="B372" s="81"/>
      <c r="C372" s="81"/>
      <c r="D372" s="82"/>
      <c r="E372" s="83"/>
      <c r="F372" s="83"/>
      <c r="G372" s="84"/>
    </row>
    <row r="373" spans="1:8" ht="111" customHeight="1" x14ac:dyDescent="0.3">
      <c r="A373" s="245" t="s">
        <v>564</v>
      </c>
      <c r="B373" s="245"/>
      <c r="C373" s="245"/>
      <c r="D373" s="245"/>
      <c r="E373" s="245"/>
      <c r="F373" s="245"/>
      <c r="G373" s="84"/>
    </row>
    <row r="374" spans="1:8" ht="16.5" customHeight="1" x14ac:dyDescent="0.35">
      <c r="A374" s="80"/>
      <c r="B374" s="81"/>
      <c r="C374" s="81"/>
      <c r="D374" s="82"/>
      <c r="E374" s="83"/>
      <c r="F374" s="83"/>
      <c r="G374" s="84"/>
    </row>
    <row r="375" spans="1:8" s="58" customFormat="1" ht="21" customHeight="1" x14ac:dyDescent="0.3">
      <c r="A375" s="245" t="s">
        <v>269</v>
      </c>
      <c r="B375" s="245"/>
      <c r="C375" s="245"/>
      <c r="D375" s="245"/>
      <c r="E375" s="245"/>
      <c r="F375" s="245"/>
      <c r="G375" s="79"/>
      <c r="H375" s="87"/>
    </row>
    <row r="376" spans="1:8" ht="18" customHeight="1" x14ac:dyDescent="0.25">
      <c r="A376" s="56"/>
      <c r="B376" s="56"/>
      <c r="C376" s="91"/>
      <c r="D376" s="91"/>
      <c r="E376" s="91"/>
      <c r="F376" s="57" t="s">
        <v>248</v>
      </c>
    </row>
    <row r="377" spans="1:8" ht="18.75" customHeight="1" x14ac:dyDescent="0.3">
      <c r="A377" s="246" t="s">
        <v>10</v>
      </c>
      <c r="B377" s="248"/>
      <c r="C377" s="246" t="s">
        <v>11</v>
      </c>
      <c r="D377" s="247"/>
      <c r="E377" s="247"/>
      <c r="F377" s="248"/>
      <c r="G377" s="89"/>
      <c r="H377" s="88"/>
    </row>
    <row r="378" spans="1:8" ht="18.75" customHeight="1" x14ac:dyDescent="0.25">
      <c r="A378" s="92" t="s">
        <v>339</v>
      </c>
      <c r="B378" s="93">
        <f>H6</f>
        <v>79200</v>
      </c>
      <c r="C378" s="280" t="s">
        <v>262</v>
      </c>
      <c r="D378" s="280"/>
      <c r="E378" s="280"/>
      <c r="F378" s="277">
        <f>E179</f>
        <v>18613.259460000001</v>
      </c>
    </row>
    <row r="379" spans="1:8" ht="19.5" customHeight="1" x14ac:dyDescent="0.25">
      <c r="A379" s="92" t="s">
        <v>12</v>
      </c>
      <c r="B379" s="93">
        <f>H7</f>
        <v>-44106.5</v>
      </c>
      <c r="C379" s="280"/>
      <c r="D379" s="280"/>
      <c r="E379" s="280"/>
      <c r="F379" s="278"/>
      <c r="G379" s="105">
        <f>F378-B379-B380-B381-B378</f>
        <v>-4.0539999987231568E-2</v>
      </c>
    </row>
    <row r="380" spans="1:8" ht="20.25" customHeight="1" x14ac:dyDescent="0.3">
      <c r="A380" s="138" t="s">
        <v>13</v>
      </c>
      <c r="B380" s="93">
        <f>H8</f>
        <v>-16480.099999999999</v>
      </c>
      <c r="C380" s="280"/>
      <c r="D380" s="280"/>
      <c r="E380" s="280"/>
      <c r="F380" s="278"/>
    </row>
    <row r="381" spans="1:8" ht="18" customHeight="1" x14ac:dyDescent="0.25">
      <c r="A381" s="121" t="s">
        <v>28</v>
      </c>
      <c r="B381" s="93">
        <f>H9</f>
        <v>-0.1</v>
      </c>
      <c r="C381" s="280"/>
      <c r="D381" s="280"/>
      <c r="E381" s="280"/>
      <c r="F381" s="279"/>
      <c r="H381" s="79"/>
    </row>
    <row r="382" spans="1:8" ht="22.5" customHeight="1" x14ac:dyDescent="0.25">
      <c r="A382" s="139" t="s">
        <v>252</v>
      </c>
      <c r="B382" s="168">
        <f>H69</f>
        <v>29568.1</v>
      </c>
      <c r="C382" s="234" t="s">
        <v>317</v>
      </c>
      <c r="D382" s="234"/>
      <c r="E382" s="235"/>
      <c r="F382" s="93">
        <f>886.7+862+5996.3+127.2+490.9</f>
        <v>8363.1</v>
      </c>
    </row>
    <row r="383" spans="1:8" ht="24" customHeight="1" x14ac:dyDescent="0.25">
      <c r="A383" s="283" t="s">
        <v>84</v>
      </c>
      <c r="B383" s="282">
        <f>H72</f>
        <v>5161.3999999999996</v>
      </c>
      <c r="C383" s="234" t="s">
        <v>26</v>
      </c>
      <c r="D383" s="234"/>
      <c r="E383" s="235"/>
      <c r="F383" s="93">
        <f>6600+1034.8+2553.7-201.4+1000+1500+287.2+13633.7</f>
        <v>26408</v>
      </c>
      <c r="G383" s="89">
        <f>SUM(F382:F398)</f>
        <v>29432.724779999997</v>
      </c>
      <c r="H383" s="151">
        <f>G383-E371</f>
        <v>0</v>
      </c>
    </row>
    <row r="384" spans="1:8" ht="18.75" hidden="1" customHeight="1" x14ac:dyDescent="0.25">
      <c r="A384" s="284"/>
      <c r="B384" s="282"/>
      <c r="C384" s="234"/>
      <c r="D384" s="234"/>
      <c r="E384" s="235"/>
      <c r="F384" s="93"/>
      <c r="G384" s="84">
        <f>SUM(F383:F398)</f>
        <v>21069.624779999995</v>
      </c>
    </row>
    <row r="385" spans="1:9" ht="18.75" customHeight="1" x14ac:dyDescent="0.25">
      <c r="A385" s="284"/>
      <c r="B385" s="112"/>
      <c r="C385" s="155" t="s">
        <v>407</v>
      </c>
      <c r="D385" s="155"/>
      <c r="E385" s="156"/>
      <c r="F385" s="93">
        <f>-1417.89623+931.3</f>
        <v>-486.59623000000011</v>
      </c>
      <c r="G385" s="84"/>
    </row>
    <row r="386" spans="1:9" ht="18.75" customHeight="1" x14ac:dyDescent="0.25">
      <c r="A386" s="284"/>
      <c r="B386" s="112"/>
      <c r="C386" s="155" t="s">
        <v>304</v>
      </c>
      <c r="D386" s="155"/>
      <c r="E386" s="156"/>
      <c r="F386" s="93">
        <f>92.4-2.7</f>
        <v>89.7</v>
      </c>
      <c r="G386" s="84"/>
    </row>
    <row r="387" spans="1:9" ht="18.75" customHeight="1" x14ac:dyDescent="0.25">
      <c r="A387" s="284"/>
      <c r="B387" s="112"/>
      <c r="C387" s="233" t="s">
        <v>14</v>
      </c>
      <c r="D387" s="234"/>
      <c r="E387" s="235"/>
      <c r="F387" s="93">
        <v>-2245.6999999999998</v>
      </c>
      <c r="G387" s="84"/>
    </row>
    <row r="388" spans="1:9" ht="18.75" customHeight="1" x14ac:dyDescent="0.25">
      <c r="A388" s="284"/>
      <c r="B388" s="112"/>
      <c r="C388" s="155" t="s">
        <v>570</v>
      </c>
      <c r="D388" s="155"/>
      <c r="E388" s="156"/>
      <c r="F388" s="93">
        <f>2735+1.1</f>
        <v>2736.1</v>
      </c>
      <c r="G388" s="84"/>
    </row>
    <row r="389" spans="1:9" ht="18.75" customHeight="1" x14ac:dyDescent="0.25">
      <c r="A389" s="284"/>
      <c r="B389" s="112"/>
      <c r="C389" s="155" t="s">
        <v>434</v>
      </c>
      <c r="D389" s="155"/>
      <c r="E389" s="156"/>
      <c r="F389" s="93">
        <f>522-177.1</f>
        <v>344.9</v>
      </c>
      <c r="G389" s="84"/>
    </row>
    <row r="390" spans="1:9" ht="18.75" customHeight="1" x14ac:dyDescent="0.25">
      <c r="A390" s="284"/>
      <c r="B390" s="112"/>
      <c r="C390" s="155" t="s">
        <v>421</v>
      </c>
      <c r="D390" s="155"/>
      <c r="E390" s="156"/>
      <c r="F390" s="93">
        <v>131.1</v>
      </c>
      <c r="G390" s="84"/>
    </row>
    <row r="391" spans="1:9" ht="18.75" customHeight="1" x14ac:dyDescent="0.25">
      <c r="A391" s="284"/>
      <c r="B391" s="112"/>
      <c r="C391" s="233" t="s">
        <v>478</v>
      </c>
      <c r="D391" s="234"/>
      <c r="E391" s="235"/>
      <c r="F391" s="93">
        <v>-24.4</v>
      </c>
      <c r="G391" s="84"/>
    </row>
    <row r="392" spans="1:9" ht="18.75" customHeight="1" x14ac:dyDescent="0.25">
      <c r="A392" s="284"/>
      <c r="B392" s="112"/>
      <c r="C392" s="233" t="s">
        <v>482</v>
      </c>
      <c r="D392" s="234"/>
      <c r="E392" s="235"/>
      <c r="F392" s="93">
        <v>-215.7</v>
      </c>
      <c r="G392" s="84"/>
    </row>
    <row r="393" spans="1:9" ht="18.75" customHeight="1" x14ac:dyDescent="0.25">
      <c r="A393" s="284"/>
      <c r="B393" s="112"/>
      <c r="C393" s="233" t="s">
        <v>492</v>
      </c>
      <c r="D393" s="234"/>
      <c r="E393" s="235"/>
      <c r="F393" s="93">
        <f>40.8+230.7</f>
        <v>271.5</v>
      </c>
      <c r="G393" s="84"/>
    </row>
    <row r="394" spans="1:9" ht="18.75" customHeight="1" x14ac:dyDescent="0.25">
      <c r="A394" s="284"/>
      <c r="B394" s="112"/>
      <c r="C394" s="233" t="s">
        <v>476</v>
      </c>
      <c r="D394" s="234"/>
      <c r="E394" s="235"/>
      <c r="F394" s="93">
        <v>-287.01001000000002</v>
      </c>
      <c r="G394" s="84"/>
    </row>
    <row r="395" spans="1:9" ht="18.75" customHeight="1" x14ac:dyDescent="0.25">
      <c r="A395" s="284"/>
      <c r="B395" s="112"/>
      <c r="C395" s="233" t="s">
        <v>559</v>
      </c>
      <c r="D395" s="234"/>
      <c r="E395" s="235"/>
      <c r="F395" s="93">
        <v>-9.7089999999999996E-2</v>
      </c>
      <c r="G395" s="84"/>
    </row>
    <row r="396" spans="1:9" ht="18.75" customHeight="1" x14ac:dyDescent="0.25">
      <c r="A396" s="284"/>
      <c r="B396" s="112"/>
      <c r="C396" s="233" t="s">
        <v>558</v>
      </c>
      <c r="D396" s="234"/>
      <c r="E396" s="235"/>
      <c r="F396" s="93">
        <f>-0.53673+823</f>
        <v>822.46326999999997</v>
      </c>
      <c r="G396" s="84"/>
    </row>
    <row r="397" spans="1:9" ht="18.75" customHeight="1" x14ac:dyDescent="0.25">
      <c r="A397" s="285"/>
      <c r="B397" s="112"/>
      <c r="C397" s="233" t="s">
        <v>30</v>
      </c>
      <c r="D397" s="234"/>
      <c r="E397" s="235"/>
      <c r="F397" s="93">
        <f>-1.1+785.9-646.1-848.1+62.8-919.79376+2.8-0.7+86.1+146.6-288.3-814.3414</f>
        <v>-2434.2351600000002</v>
      </c>
      <c r="G397" s="84"/>
    </row>
    <row r="398" spans="1:9" ht="24" customHeight="1" x14ac:dyDescent="0.25">
      <c r="A398" s="169" t="s">
        <v>276</v>
      </c>
      <c r="B398" s="112">
        <f>-5296.9+0.12478</f>
        <v>-5296.7752199999995</v>
      </c>
      <c r="C398" s="234" t="s">
        <v>34</v>
      </c>
      <c r="D398" s="234"/>
      <c r="E398" s="235"/>
      <c r="F398" s="93">
        <f>-3000-917.9-122.5</f>
        <v>-4040.4</v>
      </c>
    </row>
    <row r="399" spans="1:9" ht="17.25" customHeight="1" x14ac:dyDescent="0.35">
      <c r="A399" s="94" t="s">
        <v>9</v>
      </c>
      <c r="B399" s="95">
        <f>SUM(B378:B398)</f>
        <v>48046.024780000007</v>
      </c>
      <c r="C399" s="276" t="s">
        <v>9</v>
      </c>
      <c r="D399" s="276"/>
      <c r="E399" s="276"/>
      <c r="F399" s="96">
        <f>SUM(F378:F398)</f>
        <v>48045.984239999998</v>
      </c>
      <c r="G399" s="89">
        <f>F399-B399</f>
        <v>-4.054000000905944E-2</v>
      </c>
      <c r="I399" s="89"/>
    </row>
    <row r="400" spans="1:9" ht="21" customHeight="1" x14ac:dyDescent="0.3">
      <c r="A400" s="159"/>
      <c r="B400" s="159"/>
      <c r="C400" s="159"/>
      <c r="D400" s="159"/>
      <c r="E400" s="159"/>
      <c r="F400" s="159"/>
    </row>
    <row r="401" spans="1:6" ht="19.5" customHeight="1" x14ac:dyDescent="0.3">
      <c r="A401" s="159"/>
      <c r="B401" s="85"/>
      <c r="C401" s="159"/>
      <c r="D401" s="159"/>
      <c r="E401" s="159"/>
      <c r="F401" s="86"/>
    </row>
    <row r="402" spans="1:6" ht="18.75" customHeight="1" x14ac:dyDescent="0.3">
      <c r="A402" s="281" t="s">
        <v>66</v>
      </c>
      <c r="B402" s="281"/>
      <c r="C402" s="281"/>
      <c r="D402" s="281"/>
      <c r="E402" s="273" t="s">
        <v>67</v>
      </c>
      <c r="F402" s="273"/>
    </row>
    <row r="403" spans="1:6" ht="20.25" customHeight="1" x14ac:dyDescent="0.35">
      <c r="A403" s="80"/>
      <c r="B403" s="81"/>
      <c r="C403" s="81"/>
      <c r="D403" s="82"/>
      <c r="E403" s="83"/>
      <c r="F403" s="82"/>
    </row>
    <row r="404" spans="1:6" ht="16.5" customHeight="1" x14ac:dyDescent="0.25">
      <c r="B404" s="84"/>
      <c r="E404" s="79" t="s">
        <v>245</v>
      </c>
    </row>
    <row r="405" spans="1:6" ht="19.5" customHeight="1" x14ac:dyDescent="0.25">
      <c r="F405" s="87"/>
    </row>
    <row r="406" spans="1:6" ht="24" customHeight="1" x14ac:dyDescent="0.25"/>
  </sheetData>
  <mergeCells count="181">
    <mergeCell ref="A84:D84"/>
    <mergeCell ref="A182:F182"/>
    <mergeCell ref="A93:F93"/>
    <mergeCell ref="B34:C34"/>
    <mergeCell ref="B40:C40"/>
    <mergeCell ref="B42:C42"/>
    <mergeCell ref="B44:C44"/>
    <mergeCell ref="B45:C45"/>
    <mergeCell ref="B46:C46"/>
    <mergeCell ref="B48:C48"/>
    <mergeCell ref="B52:C52"/>
    <mergeCell ref="B67:C67"/>
    <mergeCell ref="B66:C66"/>
    <mergeCell ref="A86:F86"/>
    <mergeCell ref="B63:C63"/>
    <mergeCell ref="B64:C64"/>
    <mergeCell ref="B65:C65"/>
    <mergeCell ref="B51:C51"/>
    <mergeCell ref="B53:C53"/>
    <mergeCell ref="B54:C54"/>
    <mergeCell ref="B55:C55"/>
    <mergeCell ref="B56:C56"/>
    <mergeCell ref="A80:F80"/>
    <mergeCell ref="A81:D81"/>
    <mergeCell ref="A83:F83"/>
    <mergeCell ref="A95:F95"/>
    <mergeCell ref="A330:A335"/>
    <mergeCell ref="C382:E382"/>
    <mergeCell ref="A383:A397"/>
    <mergeCell ref="B25:C25"/>
    <mergeCell ref="A209:F209"/>
    <mergeCell ref="A202:F202"/>
    <mergeCell ref="A107:A110"/>
    <mergeCell ref="B164:F164"/>
    <mergeCell ref="A204:F204"/>
    <mergeCell ref="C387:E387"/>
    <mergeCell ref="A207:E207"/>
    <mergeCell ref="A199:F199"/>
    <mergeCell ref="A198:F198"/>
    <mergeCell ref="A197:F197"/>
    <mergeCell ref="A201:F201"/>
    <mergeCell ref="A194:F194"/>
    <mergeCell ref="A196:F196"/>
    <mergeCell ref="A200:F200"/>
    <mergeCell ref="A195:F195"/>
    <mergeCell ref="A210:F210"/>
    <mergeCell ref="A203:F203"/>
    <mergeCell ref="A188:F188"/>
    <mergeCell ref="A216:A247"/>
    <mergeCell ref="B15:C15"/>
    <mergeCell ref="B16:C16"/>
    <mergeCell ref="B17:C17"/>
    <mergeCell ref="B19:C19"/>
    <mergeCell ref="B62:C62"/>
    <mergeCell ref="B18:C18"/>
    <mergeCell ref="B20:C20"/>
    <mergeCell ref="E402:F402"/>
    <mergeCell ref="B371:C371"/>
    <mergeCell ref="B215:C215"/>
    <mergeCell ref="A375:F375"/>
    <mergeCell ref="A377:B377"/>
    <mergeCell ref="C398:E398"/>
    <mergeCell ref="C399:E399"/>
    <mergeCell ref="F378:F381"/>
    <mergeCell ref="C383:E383"/>
    <mergeCell ref="C378:E381"/>
    <mergeCell ref="A402:D402"/>
    <mergeCell ref="B383:B384"/>
    <mergeCell ref="B235:C235"/>
    <mergeCell ref="A186:F186"/>
    <mergeCell ref="A192:F192"/>
    <mergeCell ref="A193:F193"/>
    <mergeCell ref="A213:F213"/>
    <mergeCell ref="A184:F184"/>
    <mergeCell ref="A183:F183"/>
    <mergeCell ref="A189:F189"/>
    <mergeCell ref="A89:F89"/>
    <mergeCell ref="A94:F94"/>
    <mergeCell ref="A1:F1"/>
    <mergeCell ref="A2:F2"/>
    <mergeCell ref="A3:F3"/>
    <mergeCell ref="A5:F5"/>
    <mergeCell ref="A7:D7"/>
    <mergeCell ref="A8:C8"/>
    <mergeCell ref="A9:E9"/>
    <mergeCell ref="A74:F74"/>
    <mergeCell ref="B76:C76"/>
    <mergeCell ref="A72:F72"/>
    <mergeCell ref="A73:F73"/>
    <mergeCell ref="A6:D6"/>
    <mergeCell ref="A10:F10"/>
    <mergeCell ref="B11:C11"/>
    <mergeCell ref="B12:C12"/>
    <mergeCell ref="B13:C13"/>
    <mergeCell ref="B69:C69"/>
    <mergeCell ref="B75:C75"/>
    <mergeCell ref="B14:C14"/>
    <mergeCell ref="A181:F181"/>
    <mergeCell ref="A103:F103"/>
    <mergeCell ref="A101:F101"/>
    <mergeCell ref="A102:F102"/>
    <mergeCell ref="B106:C106"/>
    <mergeCell ref="A111:A124"/>
    <mergeCell ref="A125:A159"/>
    <mergeCell ref="A180:F180"/>
    <mergeCell ref="B179:C179"/>
    <mergeCell ref="A160:A163"/>
    <mergeCell ref="A104:F104"/>
    <mergeCell ref="A105:F105"/>
    <mergeCell ref="B57:C57"/>
    <mergeCell ref="B77:C77"/>
    <mergeCell ref="B78:C78"/>
    <mergeCell ref="B35:C35"/>
    <mergeCell ref="C395:E395"/>
    <mergeCell ref="B24:C24"/>
    <mergeCell ref="B27:C27"/>
    <mergeCell ref="B28:C28"/>
    <mergeCell ref="B30:C30"/>
    <mergeCell ref="B41:C41"/>
    <mergeCell ref="B43:C43"/>
    <mergeCell ref="B47:C47"/>
    <mergeCell ref="B49:C49"/>
    <mergeCell ref="B50:C50"/>
    <mergeCell ref="B31:C31"/>
    <mergeCell ref="B32:C32"/>
    <mergeCell ref="B33:C33"/>
    <mergeCell ref="B26:C26"/>
    <mergeCell ref="B29:C29"/>
    <mergeCell ref="A99:F99"/>
    <mergeCell ref="A90:F90"/>
    <mergeCell ref="A98:F98"/>
    <mergeCell ref="A96:F96"/>
    <mergeCell ref="A190:F190"/>
    <mergeCell ref="C393:E393"/>
    <mergeCell ref="C391:E391"/>
    <mergeCell ref="C392:E392"/>
    <mergeCell ref="C394:E394"/>
    <mergeCell ref="B21:C21"/>
    <mergeCell ref="B22:C22"/>
    <mergeCell ref="B23:C23"/>
    <mergeCell ref="A187:F187"/>
    <mergeCell ref="A91:F91"/>
    <mergeCell ref="A87:F87"/>
    <mergeCell ref="B36:C36"/>
    <mergeCell ref="B37:C37"/>
    <mergeCell ref="B38:C38"/>
    <mergeCell ref="B39:C39"/>
    <mergeCell ref="B58:C58"/>
    <mergeCell ref="B59:C59"/>
    <mergeCell ref="B60:C60"/>
    <mergeCell ref="B61:C61"/>
    <mergeCell ref="B68:C68"/>
    <mergeCell ref="A185:F185"/>
    <mergeCell ref="A88:F88"/>
    <mergeCell ref="B173:F173"/>
    <mergeCell ref="A165:A172"/>
    <mergeCell ref="A175:A176"/>
    <mergeCell ref="A92:F92"/>
    <mergeCell ref="A97:F97"/>
    <mergeCell ref="A191:F191"/>
    <mergeCell ref="A100:F100"/>
    <mergeCell ref="C397:E397"/>
    <mergeCell ref="A270:A315"/>
    <mergeCell ref="A316:A329"/>
    <mergeCell ref="A336:A351"/>
    <mergeCell ref="B368:F368"/>
    <mergeCell ref="A369:A370"/>
    <mergeCell ref="A211:F211"/>
    <mergeCell ref="A206:E206"/>
    <mergeCell ref="A352:A367"/>
    <mergeCell ref="A253:A256"/>
    <mergeCell ref="C384:E384"/>
    <mergeCell ref="A373:F373"/>
    <mergeCell ref="A248:A252"/>
    <mergeCell ref="A257:A269"/>
    <mergeCell ref="A208:E208"/>
    <mergeCell ref="C377:F377"/>
    <mergeCell ref="A212:F212"/>
    <mergeCell ref="A214:F214"/>
    <mergeCell ref="B236:C236"/>
    <mergeCell ref="C396:E396"/>
  </mergeCells>
  <pageMargins left="0.70866141732283472" right="0.11811023622047245" top="0.55118110236220474" bottom="0.15748031496062992" header="0.31496062992125984" footer="0.31496062992125984"/>
  <pageSetup paperSize="9" scale="74" fitToHeight="8" orientation="portrait" r:id="rId1"/>
  <headerFooter>
    <oddHeader>&amp;C&amp;P</oddHeader>
  </headerFooter>
  <rowBreaks count="4" manualBreakCount="4">
    <brk id="172" max="5" man="1"/>
    <brk id="214" max="5" man="1"/>
    <brk id="329" max="5" man="1"/>
    <brk id="374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A11" sqref="A11"/>
    </sheetView>
  </sheetViews>
  <sheetFormatPr defaultRowHeight="12.75" x14ac:dyDescent="0.2"/>
  <cols>
    <col min="1" max="1" width="69.85546875" customWidth="1"/>
  </cols>
  <sheetData>
    <row r="1" spans="1:8" ht="18.75" x14ac:dyDescent="0.3">
      <c r="A1" s="264" t="s">
        <v>0</v>
      </c>
      <c r="B1" s="264"/>
      <c r="C1" s="264"/>
      <c r="D1" s="264"/>
      <c r="E1" s="264"/>
      <c r="F1" s="264"/>
    </row>
    <row r="2" spans="1:8" ht="81.75" customHeight="1" x14ac:dyDescent="0.2">
      <c r="A2" s="265" t="s">
        <v>247</v>
      </c>
      <c r="B2" s="265"/>
      <c r="C2" s="265"/>
      <c r="D2" s="265"/>
      <c r="E2" s="265"/>
      <c r="F2" s="265"/>
    </row>
    <row r="3" spans="1:8" ht="21.75" customHeight="1" x14ac:dyDescent="0.3">
      <c r="A3" s="288" t="s">
        <v>265</v>
      </c>
      <c r="B3" s="288"/>
      <c r="C3" s="288"/>
      <c r="D3" s="288"/>
      <c r="E3" s="288"/>
      <c r="F3" s="288"/>
    </row>
    <row r="4" spans="1:8" ht="18.75" x14ac:dyDescent="0.2">
      <c r="A4" s="266" t="s">
        <v>263</v>
      </c>
      <c r="B4" s="266"/>
      <c r="C4" s="266"/>
      <c r="D4" s="266"/>
      <c r="E4" s="266"/>
      <c r="F4" s="266"/>
    </row>
    <row r="5" spans="1:8" s="79" customFormat="1" ht="49.5" customHeight="1" x14ac:dyDescent="0.25">
      <c r="A5" s="289" t="s">
        <v>266</v>
      </c>
      <c r="B5" s="289"/>
      <c r="C5" s="289"/>
      <c r="D5" s="289"/>
      <c r="E5" s="289"/>
      <c r="F5" s="289"/>
    </row>
    <row r="6" spans="1:8" s="79" customFormat="1" ht="22.9" customHeight="1" x14ac:dyDescent="0.3">
      <c r="A6" s="287" t="s">
        <v>267</v>
      </c>
      <c r="B6" s="287"/>
      <c r="C6" s="287"/>
      <c r="D6" s="287"/>
      <c r="E6" s="109"/>
      <c r="F6" s="109"/>
    </row>
    <row r="7" spans="1:8" s="79" customFormat="1" ht="17.25" customHeight="1" x14ac:dyDescent="0.3">
      <c r="A7" s="290" t="s">
        <v>268</v>
      </c>
      <c r="B7" s="290"/>
      <c r="C7" s="290"/>
      <c r="D7" s="290"/>
      <c r="E7" s="290"/>
      <c r="F7" s="290"/>
      <c r="H7" s="87"/>
    </row>
    <row r="8" spans="1:8" s="79" customFormat="1" ht="22.5" customHeight="1" x14ac:dyDescent="0.3">
      <c r="A8" s="262" t="s">
        <v>270</v>
      </c>
      <c r="B8" s="262"/>
      <c r="C8" s="262"/>
      <c r="D8" s="262"/>
      <c r="E8" s="262"/>
      <c r="F8" s="262"/>
      <c r="H8" s="87"/>
    </row>
    <row r="9" spans="1:8" s="79" customFormat="1" ht="18" customHeight="1" x14ac:dyDescent="0.3">
      <c r="A9" s="244" t="s">
        <v>244</v>
      </c>
      <c r="B9" s="244"/>
      <c r="C9" s="244"/>
      <c r="D9" s="244"/>
      <c r="E9" s="244"/>
      <c r="F9" s="244"/>
      <c r="H9" s="87"/>
    </row>
    <row r="10" spans="1:8" ht="22.5" customHeight="1" x14ac:dyDescent="0.2">
      <c r="A10" s="110" t="s">
        <v>271</v>
      </c>
    </row>
    <row r="11" spans="1:8" s="111" customFormat="1" ht="18" customHeight="1" x14ac:dyDescent="0.3">
      <c r="A11" s="111" t="s">
        <v>272</v>
      </c>
    </row>
    <row r="12" spans="1:8" s="79" customFormat="1" ht="24.75" customHeight="1" x14ac:dyDescent="0.3">
      <c r="A12" s="108" t="s">
        <v>31</v>
      </c>
      <c r="B12" s="107"/>
      <c r="C12" s="107"/>
      <c r="D12" s="107"/>
      <c r="E12" s="107"/>
      <c r="F12" s="107"/>
      <c r="H12" s="87"/>
    </row>
    <row r="13" spans="1:8" s="79" customFormat="1" ht="18.75" customHeight="1" x14ac:dyDescent="0.3">
      <c r="A13" s="232" t="s">
        <v>273</v>
      </c>
      <c r="B13" s="232"/>
      <c r="C13" s="232"/>
      <c r="D13" s="232"/>
      <c r="E13" s="232"/>
      <c r="F13" s="232"/>
      <c r="H13" s="87"/>
    </row>
    <row r="14" spans="1:8" s="111" customFormat="1" ht="40.5" customHeight="1" x14ac:dyDescent="0.3">
      <c r="A14" s="291" t="s">
        <v>274</v>
      </c>
      <c r="B14" s="291"/>
      <c r="C14" s="291"/>
      <c r="D14" s="291"/>
      <c r="E14" s="291"/>
      <c r="F14" s="291"/>
    </row>
    <row r="15" spans="1:8" s="103" customFormat="1" ht="108.75" customHeight="1" x14ac:dyDescent="0.3">
      <c r="A15" s="244" t="s">
        <v>275</v>
      </c>
      <c r="B15" s="244"/>
      <c r="C15" s="244"/>
      <c r="D15" s="244"/>
      <c r="E15" s="244"/>
      <c r="F15" s="244"/>
      <c r="G15" s="106"/>
      <c r="H15" s="104"/>
    </row>
    <row r="17" spans="1:8" s="79" customFormat="1" ht="18.75" customHeight="1" x14ac:dyDescent="0.3">
      <c r="A17" s="281" t="s">
        <v>66</v>
      </c>
      <c r="B17" s="281"/>
      <c r="C17" s="281"/>
      <c r="D17" s="281"/>
      <c r="E17" s="273" t="s">
        <v>67</v>
      </c>
      <c r="F17" s="273"/>
      <c r="H17" s="88"/>
    </row>
  </sheetData>
  <mergeCells count="14">
    <mergeCell ref="A17:D17"/>
    <mergeCell ref="E17:F17"/>
    <mergeCell ref="A7:F7"/>
    <mergeCell ref="A8:F8"/>
    <mergeCell ref="A9:F9"/>
    <mergeCell ref="A13:F13"/>
    <mergeCell ref="A15:F15"/>
    <mergeCell ref="A14:F14"/>
    <mergeCell ref="A6:D6"/>
    <mergeCell ref="A1:F1"/>
    <mergeCell ref="A2:F2"/>
    <mergeCell ref="A3:F3"/>
    <mergeCell ref="A4:F4"/>
    <mergeCell ref="A5:F5"/>
  </mergeCells>
  <pageMargins left="0.70866141732283472" right="0.70866141732283472" top="0.74803149606299213" bottom="0.74803149606299213" header="0.31496062992125984" footer="0.31496062992125984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август</vt:lpstr>
      <vt:lpstr>декабрь</vt:lpstr>
      <vt:lpstr>Лист1</vt:lpstr>
      <vt:lpstr>август!Область_печати</vt:lpstr>
      <vt:lpstr>декабрь!Область_печати</vt:lpstr>
      <vt:lpstr>Лист1!Область_печати</vt:lpstr>
    </vt:vector>
  </TitlesOfParts>
  <Company>Dnsoft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Tatyana Orlova</cp:lastModifiedBy>
  <cp:lastPrinted>2020-01-13T07:23:55Z</cp:lastPrinted>
  <dcterms:created xsi:type="dcterms:W3CDTF">2009-01-26T06:44:36Z</dcterms:created>
  <dcterms:modified xsi:type="dcterms:W3CDTF">2020-01-13T07:24:33Z</dcterms:modified>
</cp:coreProperties>
</file>